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fdgroup-my.sharepoint.com/personal/mpe_no_efdgroup_net/Documents/Desktop/Merethes documents/Privat/Poseidon/Årsmøte SK Poseidon 2022/"/>
    </mc:Choice>
  </mc:AlternateContent>
  <xr:revisionPtr revIDLastSave="249" documentId="13_ncr:1_{72F8EFC5-3073-451B-BE97-C42DA87C2F61}" xr6:coauthVersionLast="45" xr6:coauthVersionMax="45" xr10:uidLastSave="{ABFD26F0-221D-4E1F-AD4C-234CDEA8D8AD}"/>
  <bookViews>
    <workbookView xWindow="-120" yWindow="-120" windowWidth="29040" windowHeight="17640" tabRatio="684" xr2:uid="{00000000-000D-0000-FFFF-FFFF00000000}"/>
  </bookViews>
  <sheets>
    <sheet name="Resultat 2020 &amp; Budsjett 2021" sheetId="8" r:id="rId1"/>
    <sheet name="Budsjett 2021" sheetId="9" r:id="rId2"/>
    <sheet name="Budsjett 2022" sheetId="10" r:id="rId3"/>
    <sheet name="Sheet2" sheetId="6" state="hidden" r:id="rId4"/>
  </sheets>
  <externalReferences>
    <externalReference r:id="rId5"/>
  </externalReferences>
  <definedNames>
    <definedName name="___thinkcell4VNAAAABAAAAAAIAAAAE6ETHYEYGQZ2NT3ANKIZ5VRSWG" localSheetId="3" hidden="1">Sheet2!$D$57:$G$81</definedName>
    <definedName name="___thinkcell4VNAAAABAAAAAAIAAAAFBZIQSFWMPUCJUMNI776UGXVMW" localSheetId="3" hidden="1">Sheet2!$D$15:$G$24</definedName>
    <definedName name="___thinkcell4VNAAAABAAAAAAIAAAAJ7ZP5WB3VWASKSJ3QLEOR3ZSSW" localSheetId="3" hidden="1">Sheet2!$D$47:$G$55</definedName>
    <definedName name="___thinkcell4VNAAAABAAAAAAIAAAAMKEHGOT7JXOKET5V2UBBFKN44K" localSheetId="3" hidden="1">Sheet2!$I$1:$M$8</definedName>
    <definedName name="___thinkcell4VNAAAABAAAAAAIAAAAMPOS3U57HY4SPVVBOP6ZQWSCMI" localSheetId="3" hidden="1">Sheet2!$D$1:$G$13</definedName>
    <definedName name="___thinkcell4VNAAAABAAAAAAIAAAAO4FCVJPQ3C5CMQTZ4ZI5CTLKXC" localSheetId="3" hidden="1">Sheet2!$D$27:$G$44</definedName>
    <definedName name="April">#REF!</definedName>
    <definedName name="Bunnlinje">#REF!</definedName>
    <definedName name="Des" localSheetId="1">#REF!</definedName>
    <definedName name="Des" localSheetId="2">#REF!</definedName>
    <definedName name="Des">#REF!</definedName>
    <definedName name="Feb" localSheetId="1">#REF!</definedName>
    <definedName name="Feb" localSheetId="2">#REF!</definedName>
    <definedName name="Feb">#REF!</definedName>
    <definedName name="Jan" localSheetId="1">#REF!</definedName>
    <definedName name="Jan" localSheetId="2">#REF!</definedName>
    <definedName name="Jan">#REF!</definedName>
    <definedName name="Juli_Aug">#REF!</definedName>
    <definedName name="Juni">#REF!</definedName>
    <definedName name="Mai">#REF!</definedName>
    <definedName name="Mars">#REF!</definedName>
    <definedName name="Nov">#REF!</definedName>
    <definedName name="Okt">#REF!</definedName>
    <definedName name="_xlnm.Print_Area" localSheetId="0">'Resultat 2020 &amp; Budsjett 2021'!$A$1:$I$62</definedName>
    <definedName name="Sept" localSheetId="1">#REF!</definedName>
    <definedName name="Sept" localSheetId="2">#REF!</definedName>
    <definedName name="Sep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8" l="1"/>
  <c r="I34" i="8"/>
  <c r="B102" i="9" l="1"/>
  <c r="B101" i="9"/>
  <c r="B100" i="9"/>
  <c r="D99" i="9"/>
  <c r="E100" i="9" s="1"/>
  <c r="F100" i="9" s="1"/>
  <c r="B99" i="9"/>
  <c r="B98" i="9"/>
  <c r="B97" i="9"/>
  <c r="B96" i="9"/>
  <c r="D95" i="9"/>
  <c r="E96" i="9" s="1"/>
  <c r="F96" i="9" s="1"/>
  <c r="B95" i="9"/>
  <c r="B94" i="9"/>
  <c r="B93" i="9"/>
  <c r="B92" i="9"/>
  <c r="B91" i="9"/>
  <c r="B90" i="9"/>
  <c r="B89" i="9"/>
  <c r="R88" i="9"/>
  <c r="Q88" i="9"/>
  <c r="P88" i="9"/>
  <c r="O88" i="9"/>
  <c r="N88" i="9"/>
  <c r="K88" i="9"/>
  <c r="J88" i="9"/>
  <c r="I88" i="9"/>
  <c r="H88" i="9"/>
  <c r="B88" i="9"/>
  <c r="R87" i="9"/>
  <c r="Q87" i="9"/>
  <c r="P87" i="9"/>
  <c r="O87" i="9"/>
  <c r="N87" i="9"/>
  <c r="K87" i="9"/>
  <c r="J87" i="9"/>
  <c r="I87" i="9"/>
  <c r="H87" i="9"/>
  <c r="B87" i="9"/>
  <c r="D86" i="9"/>
  <c r="D85" i="9"/>
  <c r="Q84" i="9"/>
  <c r="P84" i="9"/>
  <c r="O84" i="9"/>
  <c r="N84" i="9"/>
  <c r="K84" i="9"/>
  <c r="J84" i="9"/>
  <c r="I84" i="9"/>
  <c r="H84" i="9"/>
  <c r="D84" i="9" s="1"/>
  <c r="B84" i="9"/>
  <c r="B83" i="9"/>
  <c r="D82" i="9"/>
  <c r="B82" i="9"/>
  <c r="D81" i="9"/>
  <c r="B81" i="9"/>
  <c r="D80" i="9"/>
  <c r="B80" i="9"/>
  <c r="D79" i="9"/>
  <c r="B79" i="9"/>
  <c r="B78" i="9"/>
  <c r="D77" i="9"/>
  <c r="B77" i="9"/>
  <c r="D76" i="9"/>
  <c r="B76" i="9"/>
  <c r="D75" i="9"/>
  <c r="B75" i="9"/>
  <c r="B74" i="9"/>
  <c r="N73" i="9"/>
  <c r="G73" i="9"/>
  <c r="D73" i="9"/>
  <c r="B73" i="9"/>
  <c r="R72" i="9"/>
  <c r="Q72" i="9"/>
  <c r="P72" i="9"/>
  <c r="O72" i="9"/>
  <c r="N72" i="9"/>
  <c r="K72" i="9"/>
  <c r="J72" i="9"/>
  <c r="I72" i="9"/>
  <c r="H72" i="9"/>
  <c r="G72" i="9"/>
  <c r="B72" i="9"/>
  <c r="K71" i="9"/>
  <c r="D71" i="9" s="1"/>
  <c r="J71" i="9"/>
  <c r="I71" i="9"/>
  <c r="B71" i="9"/>
  <c r="D70" i="9"/>
  <c r="B70" i="9"/>
  <c r="D69" i="9"/>
  <c r="B69" i="9"/>
  <c r="D68" i="9"/>
  <c r="B68" i="9"/>
  <c r="D67" i="9"/>
  <c r="D66" i="9"/>
  <c r="B66" i="9"/>
  <c r="B65" i="9"/>
  <c r="B63" i="9"/>
  <c r="N62" i="9"/>
  <c r="M62" i="9"/>
  <c r="L62" i="9"/>
  <c r="B62" i="9"/>
  <c r="R61" i="9"/>
  <c r="Q61" i="9"/>
  <c r="P61" i="9"/>
  <c r="O61" i="9"/>
  <c r="N61" i="9"/>
  <c r="M61" i="9"/>
  <c r="L61" i="9"/>
  <c r="K61" i="9"/>
  <c r="J61" i="9"/>
  <c r="I61" i="9"/>
  <c r="D61" i="9" s="1"/>
  <c r="H61" i="9"/>
  <c r="G61" i="9"/>
  <c r="B61" i="9"/>
  <c r="D60" i="9"/>
  <c r="R59" i="9"/>
  <c r="R62" i="9" s="1"/>
  <c r="Q59" i="9"/>
  <c r="Q62" i="9" s="1"/>
  <c r="P59" i="9"/>
  <c r="P62" i="9" s="1"/>
  <c r="O59" i="9"/>
  <c r="O62" i="9" s="1"/>
  <c r="N59" i="9"/>
  <c r="M59" i="9"/>
  <c r="L59" i="9"/>
  <c r="K59" i="9"/>
  <c r="K62" i="9" s="1"/>
  <c r="J59" i="9"/>
  <c r="J62" i="9" s="1"/>
  <c r="I59" i="9"/>
  <c r="I62" i="9" s="1"/>
  <c r="H59" i="9"/>
  <c r="D59" i="9" s="1"/>
  <c r="G59" i="9"/>
  <c r="G62" i="9" s="1"/>
  <c r="B59" i="9"/>
  <c r="D58" i="9"/>
  <c r="B58" i="9"/>
  <c r="D57" i="9"/>
  <c r="B57" i="9"/>
  <c r="D56" i="9"/>
  <c r="B56" i="9"/>
  <c r="D55" i="9"/>
  <c r="B55" i="9"/>
  <c r="B52" i="9"/>
  <c r="B51" i="9"/>
  <c r="R50" i="9"/>
  <c r="Q50" i="9"/>
  <c r="D50" i="9" s="1"/>
  <c r="B50" i="9"/>
  <c r="B49" i="9"/>
  <c r="D48" i="9"/>
  <c r="B48" i="9"/>
  <c r="R47" i="9"/>
  <c r="N47" i="9"/>
  <c r="K47" i="9"/>
  <c r="D47" i="9" s="1"/>
  <c r="B47" i="9"/>
  <c r="D46" i="9"/>
  <c r="B46" i="9"/>
  <c r="D45" i="9"/>
  <c r="B45" i="9"/>
  <c r="D44" i="9"/>
  <c r="B44" i="9"/>
  <c r="D43" i="9"/>
  <c r="B43" i="9"/>
  <c r="D42" i="9"/>
  <c r="D41" i="9"/>
  <c r="B41" i="9"/>
  <c r="D40" i="9"/>
  <c r="D39" i="9"/>
  <c r="D38" i="9"/>
  <c r="D36" i="9"/>
  <c r="B35" i="9"/>
  <c r="B33" i="9"/>
  <c r="B32" i="9"/>
  <c r="D31" i="9"/>
  <c r="B31" i="9"/>
  <c r="D30" i="9"/>
  <c r="B30" i="9"/>
  <c r="D29" i="9"/>
  <c r="B29" i="9"/>
  <c r="D28" i="9"/>
  <c r="B28" i="9"/>
  <c r="D27" i="9"/>
  <c r="B27" i="9"/>
  <c r="D26" i="9"/>
  <c r="B26" i="9"/>
  <c r="D25" i="9"/>
  <c r="B25" i="9"/>
  <c r="D24" i="9"/>
  <c r="E32" i="9" s="1"/>
  <c r="B24" i="9"/>
  <c r="B21" i="9"/>
  <c r="D20" i="9"/>
  <c r="B20" i="9"/>
  <c r="D19" i="9"/>
  <c r="B19" i="9"/>
  <c r="D18" i="9"/>
  <c r="B18" i="9"/>
  <c r="D17" i="9"/>
  <c r="B17" i="9"/>
  <c r="D16" i="9"/>
  <c r="B16" i="9"/>
  <c r="D15" i="9"/>
  <c r="B15" i="9"/>
  <c r="D14" i="9"/>
  <c r="D13" i="9"/>
  <c r="D12" i="9"/>
  <c r="O11" i="9"/>
  <c r="D11" i="9" s="1"/>
  <c r="N10" i="9"/>
  <c r="D10" i="9" s="1"/>
  <c r="E21" i="9" s="1"/>
  <c r="B10" i="9"/>
  <c r="H8" i="9"/>
  <c r="I8" i="9" s="1"/>
  <c r="J8" i="9" s="1"/>
  <c r="K8" i="9" s="1"/>
  <c r="L8" i="9" s="1"/>
  <c r="M8" i="9" s="1"/>
  <c r="N8" i="9" s="1"/>
  <c r="O8" i="9" s="1"/>
  <c r="P8" i="9" s="1"/>
  <c r="Q8" i="9" s="1"/>
  <c r="R8" i="9" s="1"/>
  <c r="G3" i="9"/>
  <c r="G2" i="9"/>
  <c r="E89" i="9" l="1"/>
  <c r="E51" i="9"/>
  <c r="F33" i="9"/>
  <c r="H62" i="9"/>
  <c r="D62" i="9" s="1"/>
  <c r="E63" i="9" s="1"/>
  <c r="F90" i="9" l="1"/>
  <c r="F92" i="9" s="1"/>
  <c r="F102" i="9" s="1"/>
  <c r="B102" i="10" l="1"/>
  <c r="B101" i="10"/>
  <c r="B100" i="10"/>
  <c r="D99" i="10"/>
  <c r="E100" i="10" s="1"/>
  <c r="F100" i="10" s="1"/>
  <c r="B99" i="10"/>
  <c r="B98" i="10"/>
  <c r="B97" i="10"/>
  <c r="E96" i="10"/>
  <c r="F96" i="10" s="1"/>
  <c r="B96" i="10"/>
  <c r="D95" i="10"/>
  <c r="B95" i="10"/>
  <c r="B94" i="10"/>
  <c r="B93" i="10"/>
  <c r="B92" i="10"/>
  <c r="B91" i="10"/>
  <c r="B90" i="10"/>
  <c r="B89" i="10"/>
  <c r="R88" i="10"/>
  <c r="Q88" i="10"/>
  <c r="P88" i="10"/>
  <c r="O88" i="10"/>
  <c r="N88" i="10"/>
  <c r="K88" i="10"/>
  <c r="J88" i="10"/>
  <c r="I88" i="10"/>
  <c r="H88" i="10"/>
  <c r="B88" i="10"/>
  <c r="R87" i="10"/>
  <c r="Q87" i="10"/>
  <c r="P87" i="10"/>
  <c r="O87" i="10"/>
  <c r="N87" i="10"/>
  <c r="K87" i="10"/>
  <c r="J87" i="10"/>
  <c r="I87" i="10"/>
  <c r="H87" i="10"/>
  <c r="B87" i="10"/>
  <c r="D86" i="10"/>
  <c r="D85" i="10"/>
  <c r="Q84" i="10"/>
  <c r="P84" i="10"/>
  <c r="O84" i="10"/>
  <c r="N84" i="10"/>
  <c r="K84" i="10"/>
  <c r="J84" i="10"/>
  <c r="I84" i="10"/>
  <c r="H84" i="10"/>
  <c r="D84" i="10"/>
  <c r="B84" i="10"/>
  <c r="B83" i="10"/>
  <c r="D82" i="10"/>
  <c r="B82" i="10"/>
  <c r="D81" i="10"/>
  <c r="B81" i="10"/>
  <c r="D80" i="10"/>
  <c r="B80" i="10"/>
  <c r="D79" i="10"/>
  <c r="B79" i="10"/>
  <c r="B78" i="10"/>
  <c r="D77" i="10"/>
  <c r="B77" i="10"/>
  <c r="D76" i="10"/>
  <c r="B76" i="10"/>
  <c r="D75" i="10"/>
  <c r="B75" i="10"/>
  <c r="B74" i="10"/>
  <c r="N73" i="10"/>
  <c r="G73" i="10"/>
  <c r="D73" i="10" s="1"/>
  <c r="B73" i="10"/>
  <c r="R72" i="10"/>
  <c r="Q72" i="10"/>
  <c r="P72" i="10"/>
  <c r="O72" i="10"/>
  <c r="N72" i="10"/>
  <c r="K72" i="10"/>
  <c r="J72" i="10"/>
  <c r="I72" i="10"/>
  <c r="H72" i="10"/>
  <c r="G72" i="10"/>
  <c r="B72" i="10"/>
  <c r="K71" i="10"/>
  <c r="J71" i="10"/>
  <c r="I71" i="10"/>
  <c r="D71" i="10" s="1"/>
  <c r="B71" i="10"/>
  <c r="D70" i="10"/>
  <c r="B70" i="10"/>
  <c r="D69" i="10"/>
  <c r="B69" i="10"/>
  <c r="D68" i="10"/>
  <c r="B68" i="10"/>
  <c r="D67" i="10"/>
  <c r="D66" i="10"/>
  <c r="E89" i="10" s="1"/>
  <c r="B66" i="10"/>
  <c r="B65" i="10"/>
  <c r="B63" i="10"/>
  <c r="O62" i="10"/>
  <c r="M62" i="10"/>
  <c r="L62" i="10"/>
  <c r="K62" i="10"/>
  <c r="G62" i="10"/>
  <c r="B62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D61" i="10" s="1"/>
  <c r="B61" i="10"/>
  <c r="D60" i="10"/>
  <c r="R59" i="10"/>
  <c r="R62" i="10" s="1"/>
  <c r="Q59" i="10"/>
  <c r="Q62" i="10" s="1"/>
  <c r="P59" i="10"/>
  <c r="P62" i="10" s="1"/>
  <c r="O59" i="10"/>
  <c r="N59" i="10"/>
  <c r="N62" i="10" s="1"/>
  <c r="M59" i="10"/>
  <c r="L59" i="10"/>
  <c r="K59" i="10"/>
  <c r="J59" i="10"/>
  <c r="J62" i="10" s="1"/>
  <c r="I59" i="10"/>
  <c r="I62" i="10" s="1"/>
  <c r="H59" i="10"/>
  <c r="H62" i="10" s="1"/>
  <c r="G59" i="10"/>
  <c r="B59" i="10"/>
  <c r="D58" i="10"/>
  <c r="B58" i="10"/>
  <c r="D57" i="10"/>
  <c r="B57" i="10"/>
  <c r="D56" i="10"/>
  <c r="B56" i="10"/>
  <c r="D55" i="10"/>
  <c r="B55" i="10"/>
  <c r="B52" i="10"/>
  <c r="B51" i="10"/>
  <c r="R50" i="10"/>
  <c r="Q50" i="10"/>
  <c r="D50" i="10" s="1"/>
  <c r="B50" i="10"/>
  <c r="B49" i="10"/>
  <c r="D48" i="10"/>
  <c r="B48" i="10"/>
  <c r="R47" i="10"/>
  <c r="N47" i="10"/>
  <c r="K47" i="10"/>
  <c r="D47" i="10" s="1"/>
  <c r="B47" i="10"/>
  <c r="D46" i="10"/>
  <c r="B46" i="10"/>
  <c r="D45" i="10"/>
  <c r="B45" i="10"/>
  <c r="D44" i="10"/>
  <c r="B44" i="10"/>
  <c r="D43" i="10"/>
  <c r="B43" i="10"/>
  <c r="D42" i="10"/>
  <c r="D41" i="10"/>
  <c r="B41" i="10"/>
  <c r="D40" i="10"/>
  <c r="D39" i="10"/>
  <c r="D38" i="10"/>
  <c r="D36" i="10"/>
  <c r="B35" i="10"/>
  <c r="B33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E32" i="10" s="1"/>
  <c r="F33" i="10" s="1"/>
  <c r="B24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D13" i="10"/>
  <c r="D12" i="10"/>
  <c r="E21" i="10" s="1"/>
  <c r="O11" i="10"/>
  <c r="I11" i="10"/>
  <c r="D11" i="10"/>
  <c r="N10" i="10"/>
  <c r="D10" i="10"/>
  <c r="B10" i="10"/>
  <c r="H8" i="10"/>
  <c r="I8" i="10" s="1"/>
  <c r="J8" i="10" s="1"/>
  <c r="K8" i="10" s="1"/>
  <c r="L8" i="10" s="1"/>
  <c r="M8" i="10" s="1"/>
  <c r="N8" i="10" s="1"/>
  <c r="O8" i="10" s="1"/>
  <c r="P8" i="10" s="1"/>
  <c r="Q8" i="10" s="1"/>
  <c r="R8" i="10" s="1"/>
  <c r="G3" i="10"/>
  <c r="G2" i="10"/>
  <c r="I60" i="8"/>
  <c r="I51" i="8"/>
  <c r="I40" i="8"/>
  <c r="D62" i="10" l="1"/>
  <c r="E63" i="10" s="1"/>
  <c r="F90" i="10" s="1"/>
  <c r="F92" i="10" s="1"/>
  <c r="F102" i="10" s="1"/>
  <c r="E51" i="10"/>
  <c r="D59" i="10"/>
  <c r="G29" i="8" l="1"/>
  <c r="G28" i="8"/>
  <c r="G38" i="8" l="1"/>
  <c r="F24" i="8"/>
  <c r="G13" i="8"/>
  <c r="G11" i="8"/>
  <c r="G10" i="8"/>
  <c r="G9" i="8"/>
  <c r="G8" i="8"/>
  <c r="A21" i="8"/>
  <c r="B12" i="8"/>
  <c r="B11" i="8"/>
  <c r="B10" i="8"/>
  <c r="B9" i="8"/>
  <c r="A7" i="8"/>
  <c r="F61" i="8"/>
  <c r="F60" i="8"/>
  <c r="G59" i="8"/>
  <c r="G58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2" i="8"/>
  <c r="G41" i="8"/>
  <c r="G40" i="8"/>
  <c r="G39" i="8"/>
  <c r="G37" i="8"/>
  <c r="F36" i="8"/>
  <c r="F34" i="8"/>
  <c r="G33" i="8"/>
  <c r="G32" i="8"/>
  <c r="G30" i="8"/>
  <c r="G27" i="8"/>
  <c r="G26" i="8"/>
  <c r="G25" i="8"/>
  <c r="F22" i="8"/>
  <c r="G21" i="8"/>
  <c r="G20" i="8"/>
  <c r="G19" i="8"/>
  <c r="G18" i="8"/>
  <c r="G17" i="8"/>
  <c r="G16" i="8"/>
  <c r="G15" i="8"/>
  <c r="G14" i="8"/>
  <c r="G12" i="8"/>
  <c r="F7" i="8"/>
  <c r="A62" i="8"/>
  <c r="A31" i="8"/>
  <c r="B30" i="8"/>
  <c r="B29" i="8"/>
  <c r="B28" i="8"/>
  <c r="B27" i="8"/>
  <c r="B26" i="8"/>
  <c r="B25" i="8"/>
  <c r="B24" i="8"/>
  <c r="B23" i="8"/>
  <c r="A19" i="8"/>
  <c r="B18" i="8"/>
  <c r="B17" i="8"/>
  <c r="B16" i="8"/>
  <c r="B15" i="8"/>
  <c r="B14" i="8"/>
  <c r="B13" i="8"/>
  <c r="B8" i="8"/>
  <c r="C8" i="8" s="1"/>
  <c r="H27" i="8" l="1"/>
  <c r="H28" i="8"/>
  <c r="H21" i="8"/>
  <c r="H26" i="8"/>
  <c r="H19" i="8"/>
  <c r="H39" i="8"/>
  <c r="C16" i="8"/>
  <c r="H8" i="8"/>
  <c r="H9" i="8"/>
  <c r="C11" i="8"/>
  <c r="H13" i="8"/>
  <c r="H44" i="8"/>
  <c r="C12" i="8"/>
  <c r="C30" i="8"/>
  <c r="H14" i="8"/>
  <c r="H37" i="8"/>
  <c r="C15" i="8"/>
  <c r="H51" i="8"/>
  <c r="H54" i="8"/>
  <c r="C29" i="8"/>
  <c r="H17" i="8"/>
  <c r="H38" i="8"/>
  <c r="H41" i="8"/>
  <c r="H45" i="8"/>
  <c r="H48" i="8"/>
  <c r="H55" i="8"/>
  <c r="H59" i="8"/>
  <c r="C25" i="8"/>
  <c r="D31" i="8"/>
  <c r="C28" i="8"/>
  <c r="H40" i="8"/>
  <c r="C9" i="8"/>
  <c r="C13" i="8"/>
  <c r="C17" i="8"/>
  <c r="C23" i="8"/>
  <c r="C26" i="8"/>
  <c r="H11" i="8"/>
  <c r="H15" i="8"/>
  <c r="H10" i="8"/>
  <c r="H18" i="8"/>
  <c r="H42" i="8"/>
  <c r="H46" i="8"/>
  <c r="H49" i="8"/>
  <c r="H52" i="8"/>
  <c r="H56" i="8"/>
  <c r="C10" i="8"/>
  <c r="C14" i="8"/>
  <c r="C18" i="8"/>
  <c r="C24" i="8"/>
  <c r="C27" i="8"/>
  <c r="H12" i="8"/>
  <c r="H16" i="8"/>
  <c r="H20" i="8"/>
  <c r="H47" i="8"/>
  <c r="H50" i="8"/>
  <c r="H53" i="8"/>
  <c r="H58" i="8"/>
  <c r="H25" i="8"/>
  <c r="C31" i="8" l="1"/>
  <c r="H32" i="8"/>
  <c r="H60" i="8"/>
  <c r="H22" i="8"/>
  <c r="H33" i="8"/>
  <c r="H30" i="8" l="1"/>
  <c r="H34" i="8" s="1"/>
  <c r="D19" i="8"/>
  <c r="I22" i="8" l="1"/>
  <c r="D62" i="8"/>
  <c r="I64" i="8" l="1"/>
  <c r="F6" i="6" l="1"/>
  <c r="F14" i="6"/>
  <c r="F26" i="6"/>
  <c r="F83" i="6"/>
  <c r="F85" i="6"/>
  <c r="F86" i="6"/>
  <c r="F89" i="6"/>
  <c r="F90" i="6"/>
  <c r="F93" i="6"/>
  <c r="G14" i="6"/>
  <c r="G18" i="6"/>
  <c r="G19" i="6"/>
  <c r="G26" i="6"/>
  <c r="G29" i="6"/>
  <c r="G37" i="6"/>
  <c r="G38" i="6"/>
  <c r="G42" i="6"/>
  <c r="G61" i="6"/>
  <c r="G65" i="6"/>
  <c r="G66" i="6"/>
  <c r="G69" i="6"/>
  <c r="G70" i="6"/>
  <c r="G75" i="6"/>
  <c r="G76" i="6"/>
  <c r="G78" i="6"/>
  <c r="G83" i="6"/>
  <c r="G85" i="6"/>
  <c r="G86" i="6"/>
  <c r="G89" i="6"/>
  <c r="G90" i="6"/>
  <c r="G91" i="6"/>
  <c r="G93" i="6"/>
  <c r="G1" i="6"/>
  <c r="G57" i="6" s="1"/>
  <c r="F1" i="6"/>
  <c r="F57" i="6" s="1"/>
  <c r="B76" i="6"/>
  <c r="B59" i="6"/>
  <c r="B56" i="6"/>
  <c r="B47" i="6"/>
  <c r="B46" i="6"/>
  <c r="B35" i="6"/>
  <c r="B34" i="6"/>
  <c r="B32" i="6"/>
  <c r="B31" i="6"/>
  <c r="B30" i="6"/>
  <c r="B29" i="6"/>
  <c r="B28" i="6"/>
  <c r="B26" i="6"/>
  <c r="B15" i="6"/>
  <c r="B14" i="6"/>
  <c r="B6" i="6"/>
  <c r="B5" i="6"/>
  <c r="B4" i="6"/>
  <c r="B3" i="6"/>
  <c r="B1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G16" i="6"/>
  <c r="G67" i="6"/>
  <c r="G62" i="6"/>
  <c r="G60" i="6"/>
  <c r="G40" i="6"/>
  <c r="G74" i="6"/>
  <c r="G73" i="6"/>
  <c r="G72" i="6"/>
  <c r="G71" i="6"/>
  <c r="G51" i="6"/>
  <c r="G50" i="6"/>
  <c r="G49" i="6"/>
  <c r="G36" i="6"/>
  <c r="G41" i="6"/>
  <c r="G23" i="6"/>
  <c r="B94" i="6"/>
  <c r="B93" i="6"/>
  <c r="B92" i="6"/>
  <c r="B91" i="6"/>
  <c r="B90" i="6"/>
  <c r="B89" i="6"/>
  <c r="B88" i="6"/>
  <c r="B87" i="6"/>
  <c r="B86" i="6"/>
  <c r="B83" i="6"/>
  <c r="B78" i="6"/>
  <c r="B60" i="6"/>
  <c r="F59" i="6"/>
  <c r="B45" i="6"/>
  <c r="F34" i="6"/>
  <c r="G17" i="6"/>
  <c r="G58" i="6" l="1"/>
  <c r="G54" i="6"/>
  <c r="G30" i="6"/>
  <c r="G34" i="6"/>
  <c r="B11" i="6"/>
  <c r="C11" i="6" s="1"/>
  <c r="D11" i="6" s="1"/>
  <c r="B37" i="6"/>
  <c r="C37" i="6" s="1"/>
  <c r="D37" i="6" s="1"/>
  <c r="B42" i="6"/>
  <c r="C42" i="6" s="1"/>
  <c r="D42" i="6" s="1"/>
  <c r="B10" i="6"/>
  <c r="C10" i="6" s="1"/>
  <c r="D10" i="6" s="1"/>
  <c r="B20" i="6"/>
  <c r="C20" i="6" s="1"/>
  <c r="D20" i="6" s="1"/>
  <c r="B36" i="6"/>
  <c r="C36" i="6" s="1"/>
  <c r="D36" i="6" s="1"/>
  <c r="B54" i="6"/>
  <c r="C54" i="6" s="1"/>
  <c r="D54" i="6" s="1"/>
  <c r="B62" i="6"/>
  <c r="C62" i="6" s="1"/>
  <c r="D62" i="6" s="1"/>
  <c r="B70" i="6"/>
  <c r="C70" i="6" s="1"/>
  <c r="D70" i="6" s="1"/>
  <c r="B75" i="6"/>
  <c r="C75" i="6" s="1"/>
  <c r="D75" i="6" s="1"/>
  <c r="B12" i="6"/>
  <c r="C12" i="6" s="1"/>
  <c r="D12" i="6" s="1"/>
  <c r="B22" i="6"/>
  <c r="C22" i="6" s="1"/>
  <c r="D22" i="6" s="1"/>
  <c r="B38" i="6"/>
  <c r="C38" i="6" s="1"/>
  <c r="D38" i="6" s="1"/>
  <c r="B81" i="6"/>
  <c r="C81" i="6" s="1"/>
  <c r="D81" i="6" s="1"/>
  <c r="B24" i="6"/>
  <c r="C24" i="6" s="1"/>
  <c r="D24" i="6" s="1"/>
  <c r="B63" i="6"/>
  <c r="C63" i="6" s="1"/>
  <c r="D63" i="6" s="1"/>
  <c r="B79" i="6"/>
  <c r="C79" i="6" s="1"/>
  <c r="D79" i="6" s="1"/>
  <c r="B13" i="6"/>
  <c r="C13" i="6" s="1"/>
  <c r="D13" i="6" s="1"/>
  <c r="B23" i="6"/>
  <c r="C23" i="6" s="1"/>
  <c r="D23" i="6" s="1"/>
  <c r="B39" i="6"/>
  <c r="C39" i="6" s="1"/>
  <c r="D39" i="6" s="1"/>
  <c r="B49" i="6"/>
  <c r="C49" i="6" s="1"/>
  <c r="D49" i="6" s="1"/>
  <c r="B65" i="6"/>
  <c r="C65" i="6" s="1"/>
  <c r="D65" i="6" s="1"/>
  <c r="B73" i="6"/>
  <c r="C73" i="6" s="1"/>
  <c r="D73" i="6" s="1"/>
  <c r="B82" i="6"/>
  <c r="C82" i="6" s="1"/>
  <c r="D82" i="6" s="1"/>
  <c r="B40" i="6"/>
  <c r="C40" i="6" s="1"/>
  <c r="D40" i="6" s="1"/>
  <c r="B64" i="6"/>
  <c r="C64" i="6" s="1"/>
  <c r="D64" i="6" s="1"/>
  <c r="B80" i="6"/>
  <c r="C80" i="6" s="1"/>
  <c r="D80" i="6" s="1"/>
  <c r="B21" i="6"/>
  <c r="C21" i="6" s="1"/>
  <c r="D21" i="6" s="1"/>
  <c r="B55" i="6"/>
  <c r="C55" i="6" s="1"/>
  <c r="D55" i="6" s="1"/>
  <c r="B2" i="6"/>
  <c r="C2" i="6" s="1"/>
  <c r="D2" i="6" s="1"/>
  <c r="B16" i="6"/>
  <c r="C16" i="6" s="1"/>
  <c r="D16" i="6" s="1"/>
  <c r="B50" i="6"/>
  <c r="C50" i="6" s="1"/>
  <c r="D50" i="6" s="1"/>
  <c r="B57" i="6"/>
  <c r="C57" i="6" s="1"/>
  <c r="D57" i="6" s="1"/>
  <c r="I7" i="6" s="1"/>
  <c r="B66" i="6"/>
  <c r="C66" i="6" s="1"/>
  <c r="D66" i="6" s="1"/>
  <c r="B74" i="6"/>
  <c r="C74" i="6" s="1"/>
  <c r="D74" i="6" s="1"/>
  <c r="B67" i="6"/>
  <c r="C67" i="6" s="1"/>
  <c r="D67" i="6" s="1"/>
  <c r="B7" i="6"/>
  <c r="C7" i="6" s="1"/>
  <c r="D7" i="6" s="1"/>
  <c r="B17" i="6"/>
  <c r="C17" i="6" s="1"/>
  <c r="D17" i="6" s="1"/>
  <c r="B25" i="6"/>
  <c r="C25" i="6" s="1"/>
  <c r="D25" i="6" s="1"/>
  <c r="B41" i="6"/>
  <c r="C41" i="6" s="1"/>
  <c r="D41" i="6" s="1"/>
  <c r="B51" i="6"/>
  <c r="C51" i="6" s="1"/>
  <c r="D51" i="6" s="1"/>
  <c r="B58" i="6"/>
  <c r="C58" i="6" s="1"/>
  <c r="D58" i="6" s="1"/>
  <c r="B68" i="6"/>
  <c r="C68" i="6" s="1"/>
  <c r="D68" i="6" s="1"/>
  <c r="B18" i="6"/>
  <c r="C18" i="6" s="1"/>
  <c r="D18" i="6" s="1"/>
  <c r="B27" i="6"/>
  <c r="B43" i="6"/>
  <c r="C43" i="6" s="1"/>
  <c r="D43" i="6" s="1"/>
  <c r="B52" i="6"/>
  <c r="C52" i="6" s="1"/>
  <c r="D52" i="6" s="1"/>
  <c r="B77" i="6"/>
  <c r="C77" i="6" s="1"/>
  <c r="D77" i="6" s="1"/>
  <c r="B85" i="6"/>
  <c r="C85" i="6" s="1"/>
  <c r="D85" i="6" s="1"/>
  <c r="B48" i="6"/>
  <c r="C48" i="6" s="1"/>
  <c r="D48" i="6" s="1"/>
  <c r="B71" i="6"/>
  <c r="C71" i="6" s="1"/>
  <c r="D71" i="6" s="1"/>
  <c r="B9" i="6"/>
  <c r="C9" i="6" s="1"/>
  <c r="D9" i="6" s="1"/>
  <c r="B19" i="6"/>
  <c r="C19" i="6" s="1"/>
  <c r="D19" i="6" s="1"/>
  <c r="B33" i="6"/>
  <c r="C33" i="6" s="1"/>
  <c r="D33" i="6" s="1"/>
  <c r="B44" i="6"/>
  <c r="C44" i="6" s="1"/>
  <c r="D44" i="6" s="1"/>
  <c r="B53" i="6"/>
  <c r="C53" i="6" s="1"/>
  <c r="D53" i="6" s="1"/>
  <c r="B61" i="6"/>
  <c r="C61" i="6" s="1"/>
  <c r="D61" i="6" s="1"/>
  <c r="B69" i="6"/>
  <c r="C69" i="6" s="1"/>
  <c r="D69" i="6" s="1"/>
  <c r="B8" i="6"/>
  <c r="C8" i="6" s="1"/>
  <c r="D8" i="6" s="1"/>
  <c r="B72" i="6"/>
  <c r="C72" i="6" s="1"/>
  <c r="D72" i="6" s="1"/>
  <c r="B84" i="6"/>
  <c r="C84" i="6" s="1"/>
  <c r="D84" i="6" s="1"/>
  <c r="I8" i="6" s="1"/>
  <c r="G87" i="6"/>
  <c r="G43" i="6"/>
  <c r="G53" i="6"/>
  <c r="K5" i="6"/>
  <c r="G47" i="6"/>
  <c r="G15" i="6"/>
  <c r="F47" i="6"/>
  <c r="M1" i="6"/>
  <c r="F27" i="6"/>
  <c r="G27" i="6"/>
  <c r="F15" i="6"/>
  <c r="L1" i="6"/>
  <c r="C3" i="6"/>
  <c r="D3" i="6" s="1"/>
  <c r="C15" i="6"/>
  <c r="D15" i="6" s="1"/>
  <c r="C27" i="6"/>
  <c r="D27" i="6" s="1"/>
  <c r="I5" i="6" s="1"/>
  <c r="C31" i="6"/>
  <c r="D31" i="6" s="1"/>
  <c r="C35" i="6"/>
  <c r="D35" i="6" s="1"/>
  <c r="C47" i="6"/>
  <c r="D47" i="6" s="1"/>
  <c r="I6" i="6" s="1"/>
  <c r="C59" i="6"/>
  <c r="D59" i="6" s="1"/>
  <c r="C83" i="6"/>
  <c r="D83" i="6" s="1"/>
  <c r="C87" i="6"/>
  <c r="D87" i="6" s="1"/>
  <c r="C91" i="6"/>
  <c r="D91" i="6" s="1"/>
  <c r="C29" i="6"/>
  <c r="D29" i="6" s="1"/>
  <c r="C45" i="6"/>
  <c r="C89" i="6"/>
  <c r="D89" i="6" s="1"/>
  <c r="C93" i="6"/>
  <c r="D93" i="6" s="1"/>
  <c r="C6" i="6"/>
  <c r="D6" i="6" s="1"/>
  <c r="C14" i="6"/>
  <c r="D14" i="6" s="1"/>
  <c r="C26" i="6"/>
  <c r="D26" i="6" s="1"/>
  <c r="C30" i="6"/>
  <c r="D30" i="6" s="1"/>
  <c r="C34" i="6"/>
  <c r="D34" i="6" s="1"/>
  <c r="C46" i="6"/>
  <c r="C78" i="6"/>
  <c r="D78" i="6" s="1"/>
  <c r="C86" i="6"/>
  <c r="D86" i="6" s="1"/>
  <c r="C90" i="6"/>
  <c r="D90" i="6" s="1"/>
  <c r="C94" i="6"/>
  <c r="D94" i="6" s="1"/>
  <c r="C1" i="6"/>
  <c r="D1" i="6" s="1"/>
  <c r="C5" i="6"/>
  <c r="D5" i="6" s="1"/>
  <c r="C4" i="6"/>
  <c r="D4" i="6" s="1"/>
  <c r="C28" i="6"/>
  <c r="D28" i="6" s="1"/>
  <c r="C32" i="6"/>
  <c r="D32" i="6" s="1"/>
  <c r="C56" i="6"/>
  <c r="C60" i="6"/>
  <c r="D60" i="6" s="1"/>
  <c r="C76" i="6"/>
  <c r="D76" i="6" s="1"/>
  <c r="C88" i="6"/>
  <c r="D88" i="6" s="1"/>
  <c r="C92" i="6"/>
  <c r="D92" i="6" s="1"/>
  <c r="G63" i="6"/>
  <c r="G48" i="6"/>
  <c r="K6" i="6"/>
  <c r="G79" i="6" l="1"/>
  <c r="G77" i="6"/>
  <c r="G80" i="6"/>
  <c r="G2" i="6"/>
  <c r="G52" i="6"/>
  <c r="K3" i="6"/>
  <c r="K7" i="6"/>
  <c r="G11" i="6"/>
  <c r="G22" i="6" l="1"/>
  <c r="G21" i="6"/>
  <c r="G20" i="6"/>
  <c r="G12" i="6"/>
  <c r="G10" i="6"/>
  <c r="G9" i="6"/>
  <c r="G7" i="6"/>
  <c r="G6" i="6"/>
  <c r="G5" i="6"/>
  <c r="G8" i="6"/>
  <c r="G31" i="6"/>
  <c r="G32" i="6"/>
  <c r="G59" i="6"/>
  <c r="G3" i="6"/>
  <c r="G92" i="6"/>
  <c r="G88" i="6"/>
  <c r="G4" i="6"/>
  <c r="C19" i="8" l="1"/>
  <c r="G55" i="6"/>
  <c r="M6" i="6" s="1"/>
  <c r="G13" i="6"/>
  <c r="M2" i="6" s="1"/>
  <c r="G33" i="6"/>
  <c r="K2" i="6"/>
  <c r="C62" i="8" l="1"/>
  <c r="C69" i="8" s="1"/>
  <c r="K4" i="6"/>
  <c r="K8" i="6"/>
  <c r="G35" i="6" l="1"/>
  <c r="G39" i="6" l="1"/>
  <c r="G28" i="6"/>
  <c r="G44" i="6" l="1"/>
  <c r="M5" i="6" s="1"/>
  <c r="F75" i="6" l="1"/>
  <c r="F42" i="6"/>
  <c r="F18" i="6"/>
  <c r="F80" i="6"/>
  <c r="F63" i="6"/>
  <c r="F70" i="6"/>
  <c r="F73" i="6"/>
  <c r="F77" i="6"/>
  <c r="F60" i="6"/>
  <c r="F49" i="6"/>
  <c r="F36" i="6"/>
  <c r="F37" i="6"/>
  <c r="F22" i="6"/>
  <c r="F20" i="6"/>
  <c r="F11" i="6"/>
  <c r="F9" i="6"/>
  <c r="F40" i="6"/>
  <c r="F3" i="6"/>
  <c r="F76" i="6"/>
  <c r="F66" i="6"/>
  <c r="F69" i="6"/>
  <c r="F72" i="6"/>
  <c r="F54" i="6"/>
  <c r="F52" i="6"/>
  <c r="F38" i="6"/>
  <c r="F39" i="6"/>
  <c r="F35" i="6"/>
  <c r="F17" i="6"/>
  <c r="F12" i="6"/>
  <c r="F7" i="6"/>
  <c r="F67" i="6"/>
  <c r="F78" i="6"/>
  <c r="F53" i="6"/>
  <c r="F41" i="6"/>
  <c r="F71" i="6"/>
  <c r="F79" i="6"/>
  <c r="F62" i="6"/>
  <c r="F65" i="6"/>
  <c r="F68" i="6"/>
  <c r="F50" i="6"/>
  <c r="F33" i="6"/>
  <c r="F30" i="6"/>
  <c r="F23" i="6"/>
  <c r="F21" i="6"/>
  <c r="F8" i="6"/>
  <c r="F10" i="6"/>
  <c r="F74" i="6"/>
  <c r="F61" i="6"/>
  <c r="F64" i="6"/>
  <c r="F51" i="6"/>
  <c r="F29" i="6"/>
  <c r="F19" i="6"/>
  <c r="F43" i="6" l="1"/>
  <c r="F31" i="6"/>
  <c r="F5" i="6"/>
  <c r="F4" i="6"/>
  <c r="F32" i="6"/>
  <c r="F92" i="6" l="1"/>
  <c r="F91" i="6"/>
  <c r="F2" i="6"/>
  <c r="F88" i="6"/>
  <c r="F87" i="6"/>
  <c r="F58" i="6"/>
  <c r="F48" i="6"/>
  <c r="F44" i="6"/>
  <c r="L5" i="6" s="1"/>
  <c r="F28" i="6"/>
  <c r="F16" i="6"/>
  <c r="F24" i="6"/>
  <c r="L3" i="6" s="1"/>
  <c r="F55" i="6" l="1"/>
  <c r="L6" i="6" s="1"/>
  <c r="F82" i="6"/>
  <c r="F81" i="6"/>
  <c r="L7" i="6" s="1"/>
  <c r="F13" i="6" l="1"/>
  <c r="L2" i="6" s="1"/>
  <c r="F25" i="6" l="1"/>
  <c r="L4" i="6" s="1"/>
  <c r="G24" i="6" l="1"/>
  <c r="M3" i="6" s="1"/>
  <c r="F84" i="6"/>
  <c r="L8" i="6" s="1"/>
  <c r="F94" i="6"/>
  <c r="G25" i="6" l="1"/>
  <c r="M4" i="6" s="1"/>
  <c r="H61" i="8" l="1"/>
  <c r="C70" i="8" s="1"/>
  <c r="H64" i="8" l="1"/>
  <c r="C71" i="8" s="1"/>
  <c r="G68" i="6"/>
  <c r="G64" i="6" l="1"/>
  <c r="G81" i="6" l="1"/>
  <c r="M7" i="6" s="1"/>
  <c r="G82" i="6"/>
  <c r="G84" i="6" l="1"/>
  <c r="M8" i="6" s="1"/>
  <c r="G9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tc={3412011E-209E-4189-AA0A-79E42EEE89CF}</author>
    <author>tc={88A7EF64-8E99-4591-9164-0BA9C3F32FEA}</author>
    <author>tc={2E87A4B9-D529-4751-A1DC-6729174E02DD}</author>
    <author>tc={1F59E4D5-0967-49B1-AD7C-50BFF442D616}</author>
    <author>tc={C6220D82-AC5A-475A-8F4F-670BC3558C93}</author>
    <author>Pepevnik, Merethe</author>
  </authors>
  <commentList>
    <comment ref="G24" authorId="0" shapeId="0" xr:uid="{3412011E-209E-4189-AA0A-79E42EEE89CF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L24" authorId="1" shapeId="0" xr:uid="{88A7EF64-8E99-4591-9164-0BA9C3F32FEA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N24" authorId="2" shapeId="0" xr:uid="{2E87A4B9-D529-4751-A1DC-6729174E02DD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R24" authorId="3" shapeId="0" xr:uid="{1F59E4D5-0967-49B1-AD7C-50BFF442D616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J30" authorId="4" shapeId="0" xr:uid="{C6220D82-AC5A-475A-8F4F-670BC3558C93}">
      <text>
        <t>[Threaded comment]
Your version of Excel allows you to read this threaded comment; however, any edits to it will get removed if the file is opened in a newer version of Excel. Learn more: https://go.microsoft.com/fwlink/?linkid=870924
Comment:
    sponsorsvøm</t>
      </text>
    </comment>
    <comment ref="R58" authorId="5" shapeId="0" xr:uid="{CF34A710-D08D-44D6-A629-4D881842B2E3}">
      <text>
        <r>
          <rPr>
            <b/>
            <sz val="9"/>
            <color indexed="81"/>
            <rFont val="Tahoma"/>
            <family val="2"/>
          </rPr>
          <t>Pepevnik, Merethe:</t>
        </r>
        <r>
          <rPr>
            <sz val="9"/>
            <color indexed="81"/>
            <rFont val="Tahoma"/>
            <family val="2"/>
          </rPr>
          <t xml:space="preserve">
Bonus Glenn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tc={17329365-27DB-4ED4-9EAD-58A53FA7B574}</author>
    <author>tc={92D17AAC-389B-474F-97BE-825EDE1CF19F}</author>
    <author>tc={2B6A5F0A-B149-4A52-A8AD-547432E0943F}</author>
    <author>tc={D4032C37-69E1-4422-8FF2-05DD5D003B01}</author>
    <author>Merethe Pepevnik</author>
    <author>Pepevnik, Merethe</author>
  </authors>
  <commentList>
    <comment ref="G24" authorId="0" shapeId="0" xr:uid="{17329365-27DB-4ED4-9EAD-58A53FA7B574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L24" authorId="1" shapeId="0" xr:uid="{92D17AAC-389B-474F-97BE-825EDE1CF19F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N24" authorId="2" shapeId="0" xr:uid="{2B6A5F0A-B149-4A52-A8AD-547432E0943F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R24" authorId="3" shapeId="0" xr:uid="{D4032C37-69E1-4422-8FF2-05DD5D003B01}">
      <text>
        <t>[Threaded comment]
Your version of Excel allows you to read this threaded comment; however, any edits to it will get removed if the file is opened in a newer version of Excel. Learn more: https://go.microsoft.com/fwlink/?linkid=870924
Comment:
    handikapp svøm</t>
      </text>
    </comment>
    <comment ref="I30" authorId="4" shapeId="0" xr:uid="{EE261BFC-C161-4858-898C-665A5B14E2FE}">
      <text>
        <r>
          <rPr>
            <b/>
            <sz val="9"/>
            <color indexed="81"/>
            <rFont val="Tahoma"/>
            <family val="2"/>
          </rPr>
          <t>Merethe Pepevnik:</t>
        </r>
        <r>
          <rPr>
            <sz val="9"/>
            <color indexed="81"/>
            <rFont val="Tahoma"/>
            <family val="2"/>
          </rPr>
          <t xml:space="preserve">
Enjoy</t>
        </r>
      </text>
    </comment>
    <comment ref="J30" authorId="4" shapeId="0" xr:uid="{E668D65F-8934-49B4-BFC3-7B4C7F0E4CFC}">
      <text>
        <r>
          <rPr>
            <b/>
            <sz val="9"/>
            <color indexed="81"/>
            <rFont val="Tahoma"/>
            <family val="2"/>
          </rPr>
          <t>Merethe Pepevnik:</t>
        </r>
        <r>
          <rPr>
            <sz val="9"/>
            <color indexed="81"/>
            <rFont val="Tahoma"/>
            <family val="2"/>
          </rPr>
          <t xml:space="preserve">
Sokkedugnad</t>
        </r>
      </text>
    </comment>
    <comment ref="L30" authorId="4" shapeId="0" xr:uid="{2C671007-3BDA-4CD0-AD8D-356986D81732}">
      <text>
        <r>
          <rPr>
            <b/>
            <sz val="9"/>
            <color indexed="81"/>
            <rFont val="Tahoma"/>
            <family val="2"/>
          </rPr>
          <t>Merethe Pepevnik:</t>
        </r>
        <r>
          <rPr>
            <sz val="9"/>
            <color indexed="81"/>
            <rFont val="Tahoma"/>
            <family val="2"/>
          </rPr>
          <t xml:space="preserve">
Barnas dag</t>
        </r>
      </text>
    </comment>
    <comment ref="P30" authorId="4" shapeId="0" xr:uid="{C0A9C4D8-BCC7-45A5-A70E-F4522D793F0B}">
      <text>
        <r>
          <rPr>
            <b/>
            <sz val="9"/>
            <color indexed="81"/>
            <rFont val="Tahoma"/>
            <family val="2"/>
          </rPr>
          <t>Merethe Pepevnik:</t>
        </r>
        <r>
          <rPr>
            <sz val="9"/>
            <color indexed="81"/>
            <rFont val="Tahoma"/>
            <family val="2"/>
          </rPr>
          <t xml:space="preserve">
Potetdugnad</t>
        </r>
      </text>
    </comment>
    <comment ref="R30" authorId="4" shapeId="0" xr:uid="{C6FF7A96-4F25-4FF9-AA44-CCC67C48C60C}">
      <text>
        <r>
          <rPr>
            <b/>
            <sz val="9"/>
            <color indexed="81"/>
            <rFont val="Tahoma"/>
            <family val="2"/>
          </rPr>
          <t>Merethe Pepevnik:</t>
        </r>
        <r>
          <rPr>
            <sz val="9"/>
            <color indexed="81"/>
            <rFont val="Tahoma"/>
            <family val="2"/>
          </rPr>
          <t xml:space="preserve">
Juledugnad</t>
        </r>
      </text>
    </comment>
    <comment ref="R58" authorId="5" shapeId="0" xr:uid="{89240B35-71F7-491F-9B57-7F47EA2FDAB0}">
      <text>
        <r>
          <rPr>
            <b/>
            <sz val="9"/>
            <color indexed="81"/>
            <rFont val="Tahoma"/>
            <family val="2"/>
          </rPr>
          <t>Pepevnik, Merethe:</t>
        </r>
        <r>
          <rPr>
            <sz val="9"/>
            <color indexed="81"/>
            <rFont val="Tahoma"/>
            <family val="2"/>
          </rPr>
          <t xml:space="preserve">
BonusTomasz</t>
        </r>
      </text>
    </comment>
  </commentList>
</comments>
</file>

<file path=xl/sharedStrings.xml><?xml version="1.0" encoding="utf-8"?>
<sst xmlns="http://schemas.openxmlformats.org/spreadsheetml/2006/main" count="299" uniqueCount="150">
  <si>
    <t>3300 - Videresalg av varer</t>
  </si>
  <si>
    <t>3441 - Andre tilskudd</t>
  </si>
  <si>
    <t>3443 - Inntekter fra sponsor</t>
  </si>
  <si>
    <t>3445 - Grasrotandel</t>
  </si>
  <si>
    <t>3446 - Svømmeaksjonen</t>
  </si>
  <si>
    <t>3447 - Momskompensasjon</t>
  </si>
  <si>
    <t>3910 - Kursinntekter</t>
  </si>
  <si>
    <t>3912 - LAM</t>
  </si>
  <si>
    <t>3914 - Leieinntekter trener</t>
  </si>
  <si>
    <t>3920 - Treningsavgift</t>
  </si>
  <si>
    <t>3925 - Medlemskontingenter</t>
  </si>
  <si>
    <t>3970 - Dugnad</t>
  </si>
  <si>
    <t>3975 - Loddsalg</t>
  </si>
  <si>
    <t>4010 - Startkontingenter</t>
  </si>
  <si>
    <t>4115 - Premier svømmestevne</t>
  </si>
  <si>
    <t>4200 - Representasjon</t>
  </si>
  <si>
    <t>4210 - Utgifter treningsleir</t>
  </si>
  <si>
    <t>4230 - Utstyr til aktiviteter</t>
  </si>
  <si>
    <t>4300 - Innkjøp av varer for videresalg</t>
  </si>
  <si>
    <t>4510 - Innleie av arbeidskraft</t>
  </si>
  <si>
    <t>5010 - Lønn over grensen for arb.g.avgift</t>
  </si>
  <si>
    <t>5011 - Lønn m/feriepenger</t>
  </si>
  <si>
    <t>5012 - Fradrag for bilgodtgjørsle</t>
  </si>
  <si>
    <t>5014 - Lønn u/feriepenger</t>
  </si>
  <si>
    <t>5090 - Avsatt feriepenger</t>
  </si>
  <si>
    <t>5410 - Arbeidsgiveravgift</t>
  </si>
  <si>
    <t>5490 - Avsatt arb.g.avg. feriepenger</t>
  </si>
  <si>
    <t>6310 - Leie lokaler</t>
  </si>
  <si>
    <t>6490 - Leie postboks</t>
  </si>
  <si>
    <t>6550 - Utstyr til svømmehall</t>
  </si>
  <si>
    <t>6570 - Arbeidsklær og svømmeutstyr</t>
  </si>
  <si>
    <t>6705 - Regnskapshonorar</t>
  </si>
  <si>
    <t>6800 - Kontorrekvisita</t>
  </si>
  <si>
    <t>6850 - Sosiale kostnader klubben</t>
  </si>
  <si>
    <t>6860 - Møter, kurs, oppdatering</t>
  </si>
  <si>
    <t>6900 - Telefon</t>
  </si>
  <si>
    <t>6940 - Porto</t>
  </si>
  <si>
    <t>7100 - Bilgodtgjørsle</t>
  </si>
  <si>
    <t>7140 - Reisekosnad</t>
  </si>
  <si>
    <t>7150 - Diettkostnad</t>
  </si>
  <si>
    <t>7320 - Annonsekostnader</t>
  </si>
  <si>
    <t>7420 - Gave</t>
  </si>
  <si>
    <t>7770 - Bank- og kort gebyr</t>
  </si>
  <si>
    <t>7790 - Andre kostnader</t>
  </si>
  <si>
    <t>8050 - Annen renteinntekt</t>
  </si>
  <si>
    <t>8150 - Annen rentekostnad</t>
  </si>
  <si>
    <t>Svømmeklubben Poseidon</t>
  </si>
  <si>
    <t>Kommentar</t>
  </si>
  <si>
    <t>Salgsinntekt</t>
  </si>
  <si>
    <t>3444 - Driftstilskudd porsgrunn kommune</t>
  </si>
  <si>
    <t>Sum salgsinntekt</t>
  </si>
  <si>
    <t>Annen driftsinntekt</t>
  </si>
  <si>
    <t>Sum annen driftsinntekt</t>
  </si>
  <si>
    <t>Sum driftsinntekter</t>
  </si>
  <si>
    <t/>
  </si>
  <si>
    <t>Varekostnad</t>
  </si>
  <si>
    <t>4125 - Lisenser nsf</t>
  </si>
  <si>
    <t>4205 - Sponsing av utøvere</t>
  </si>
  <si>
    <t>Sum varekostnad</t>
  </si>
  <si>
    <t>Sum lønnskostnad</t>
  </si>
  <si>
    <t>Annen driftskostnad</t>
  </si>
  <si>
    <t>6810 - Data/edb-kostnad</t>
  </si>
  <si>
    <t>6840 - Aviser / bøker / tidsskrifter</t>
  </si>
  <si>
    <t>Sum annen driftskostnad</t>
  </si>
  <si>
    <t>Sum driftskostnader</t>
  </si>
  <si>
    <t>Sum driftsresultat</t>
  </si>
  <si>
    <t>Annen renteinntekt</t>
  </si>
  <si>
    <t>Sum annen renteinntekt</t>
  </si>
  <si>
    <t>Driftsresultat</t>
  </si>
  <si>
    <t>Annen rentekostnad</t>
  </si>
  <si>
    <t>Sum annen rentekostnad</t>
  </si>
  <si>
    <t>Salg av tøy o.l.</t>
  </si>
  <si>
    <t>Stevner (husk at vi har avdelingsregnskap)</t>
  </si>
  <si>
    <t>3322 - Kjøkken og overnatting</t>
  </si>
  <si>
    <t>Sum av individuelle og lagstarter</t>
  </si>
  <si>
    <t>Leie av Urædd klubbhus, svømmehall, Heistadhallen til voksen-kurs etc</t>
  </si>
  <si>
    <t>Kost ved trening i Fritidsparken, fast eller når Heistadhallen er stengt</t>
  </si>
  <si>
    <t>3323 - Andre inntekter stevner</t>
  </si>
  <si>
    <t>4110 - Kiosk</t>
  </si>
  <si>
    <t>4112 - Dommere</t>
  </si>
  <si>
    <t>4111 - Kjøkken og overnatting</t>
  </si>
  <si>
    <t>Innkjøp - ikke leie av lokaler.</t>
  </si>
  <si>
    <t>Til stevner (husk vi har avdelingsregnskap)</t>
  </si>
  <si>
    <t>Utstyr til fast installasjon i svømmehall</t>
  </si>
  <si>
    <t>Forutsetning: overgang til Visma online el.l.</t>
  </si>
  <si>
    <t>3913 - Inntekt treningsleir</t>
  </si>
  <si>
    <t>4350 - Tap på utmeldte medlemmer</t>
  </si>
  <si>
    <t>7400 - Kontingenter</t>
  </si>
  <si>
    <t>Sponsoravtaler pr år legges til klubb, avtaler knyttet direkte til et stevne legges på stevne</t>
  </si>
  <si>
    <t>Bruk bare kostkonto. Avgift leir skal bare dekke kost.</t>
  </si>
  <si>
    <t>Totale inntekter fra Barnas Dag + klubbens andel av potetdugnad</t>
  </si>
  <si>
    <t>Inntektene fra salg av BD-lodd, men også overføring til BD = 0</t>
  </si>
  <si>
    <t>Kost for kjøp av klubbtøy, badehetter etc</t>
  </si>
  <si>
    <t>Delsummer</t>
  </si>
  <si>
    <t>Stevner (husk at vi har avdelingsregnskap)
Diversepost under Poseidon og Grenland Cup, rekruttstevner</t>
  </si>
  <si>
    <t>Her må vi lage en innstilling på hvordan disse pengene skal brukes</t>
  </si>
  <si>
    <t>Salgsinntekter</t>
  </si>
  <si>
    <t>SUM Inntekter</t>
  </si>
  <si>
    <t>Annen driftsinntekter</t>
  </si>
  <si>
    <t>Lønnskostnader</t>
  </si>
  <si>
    <t>Her föres alle utgifter til mat og overnatting til utövere, som etterpå belastes ASK. Skal over året gå i null.</t>
  </si>
  <si>
    <t>4118 - Stevneutgifter</t>
  </si>
  <si>
    <t>SMS fra tryggivann.no og klubbadmin.no</t>
  </si>
  <si>
    <t>Totalt 2014</t>
  </si>
  <si>
    <t>Lennart redusert stilling fra høsten</t>
  </si>
  <si>
    <t>3321 - Kiosk, inngang og program</t>
  </si>
  <si>
    <t>3320 - Startavgift</t>
  </si>
  <si>
    <t>Ev godtgjøring og/eller honorar + tidtakersjef</t>
  </si>
  <si>
    <t>Bl.a. oppstartspakke svømmeskole, merker svømmeskole og diplom</t>
  </si>
  <si>
    <t>Trenerkonferanse og lederkonferanse; dommerkurs; livredning; instruktører</t>
  </si>
  <si>
    <t>Ny daglig leder svømmeskolen fra april (280 + arb.avg. og FP pr år)
Juni: svømmeaksjonen lønn tilsvarende 35000
All lønn!</t>
  </si>
  <si>
    <t>6311 - Inngang andre svømmehaller</t>
  </si>
  <si>
    <t>Til trenere og instruktører; ligger i kjøp og salg</t>
  </si>
  <si>
    <t>Periode 1-12</t>
  </si>
  <si>
    <t>BUDSJETT</t>
  </si>
  <si>
    <t>INNTEKTER</t>
  </si>
  <si>
    <t>UTGIFTER</t>
  </si>
  <si>
    <t>ÅRSRESULTAT</t>
  </si>
  <si>
    <t xml:space="preserve">Driftsinnteker stemmer: </t>
  </si>
  <si>
    <t>Driftskostnader stemmer:</t>
  </si>
  <si>
    <t>Årsresultat stemmer:</t>
  </si>
  <si>
    <t>Sum/10</t>
  </si>
  <si>
    <t xml:space="preserve">Delsumsjekk1: </t>
  </si>
  <si>
    <t>Sum/11</t>
  </si>
  <si>
    <t xml:space="preserve">Delsumsjekk2: </t>
  </si>
  <si>
    <t>Konto i regnskap 2015</t>
  </si>
  <si>
    <t>Ny konto</t>
  </si>
  <si>
    <t>3320 - Stevneinntekter</t>
  </si>
  <si>
    <t>3321 - Inntekter Poseidon TYR Cup</t>
  </si>
  <si>
    <t>3322 - Inntekter Grenland TYR Cup</t>
  </si>
  <si>
    <t>4010 - Startkontingeter (lag)</t>
  </si>
  <si>
    <t>4011 - Starkontigenter individuelle starter</t>
  </si>
  <si>
    <t>Utgår. Vil inngå i 4010.</t>
  </si>
  <si>
    <t>4110 - Stevneutgifter</t>
  </si>
  <si>
    <t>4111 - Utgifter poseidon cup</t>
  </si>
  <si>
    <t>4112 - Utgifter grenland cup</t>
  </si>
  <si>
    <t>Ny linje</t>
  </si>
  <si>
    <t>RESULTAT</t>
  </si>
  <si>
    <t>7510 - Forsikringspremie</t>
  </si>
  <si>
    <t>5280 - OTP betalt</t>
  </si>
  <si>
    <t>7510 - forsikring ansatte</t>
  </si>
  <si>
    <t>7510 - forsikring eiendeler</t>
  </si>
  <si>
    <t>5280 - OTP</t>
  </si>
  <si>
    <t>3901 - Tilskudd pga korona - periodisert</t>
  </si>
  <si>
    <t>Budsjett 2022</t>
  </si>
  <si>
    <t>Budsjett 2021 vs reslutat 2021</t>
  </si>
  <si>
    <t>Satt av til Bonus Glenn - 5014 og 5015 er de samme</t>
  </si>
  <si>
    <t>Tilbakeført fra avsetning 2020 - Pooltech</t>
  </si>
  <si>
    <t>6720 - Honorar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</si>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</sst>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mmm"/>
    <numFmt numFmtId="166" formatCode="#,##0_ ;[Red]\-#,##0"/>
    <numFmt numFmtId="167" formatCode="_ * #,##0_ ;_ * \-#,##0_ "/>
    <numFmt numFmtId="168" formatCode="&quot;Ja&quot;;&quot;Nei&quot;;&quot;Nei&quot;;&quot;&quot;"/>
    <numFmt numFmtId="169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Font="1" applyAlignment="1">
      <alignment vertical="top"/>
    </xf>
    <xf numFmtId="166" fontId="2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center" vertical="top"/>
    </xf>
    <xf numFmtId="167" fontId="0" fillId="0" borderId="0" xfId="3" applyNumberFormat="1" applyFont="1"/>
    <xf numFmtId="167" fontId="2" fillId="0" borderId="0" xfId="3" applyNumberFormat="1" applyFont="1"/>
    <xf numFmtId="0" fontId="5" fillId="0" borderId="0" xfId="0" applyFont="1" applyAlignment="1">
      <alignment horizontal="center"/>
    </xf>
    <xf numFmtId="0" fontId="0" fillId="0" borderId="1" xfId="0" applyBorder="1"/>
    <xf numFmtId="167" fontId="0" fillId="0" borderId="1" xfId="3" applyNumberFormat="1" applyFont="1" applyBorder="1"/>
    <xf numFmtId="167" fontId="0" fillId="0" borderId="1" xfId="3" applyNumberFormat="1" applyFont="1" applyBorder="1" applyAlignment="1">
      <alignment horizontal="left"/>
    </xf>
    <xf numFmtId="167" fontId="2" fillId="0" borderId="1" xfId="3" applyNumberFormat="1" applyFont="1" applyBorder="1"/>
    <xf numFmtId="167" fontId="6" fillId="0" borderId="1" xfId="3" applyNumberFormat="1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2" fillId="0" borderId="2" xfId="0" applyFont="1" applyBorder="1"/>
    <xf numFmtId="0" fontId="6" fillId="0" borderId="4" xfId="0" applyFont="1" applyBorder="1"/>
    <xf numFmtId="0" fontId="7" fillId="0" borderId="5" xfId="0" applyFont="1" applyBorder="1"/>
    <xf numFmtId="167" fontId="0" fillId="0" borderId="5" xfId="3" applyNumberFormat="1" applyFont="1" applyBorder="1"/>
    <xf numFmtId="0" fontId="0" fillId="0" borderId="7" xfId="0" applyBorder="1"/>
    <xf numFmtId="0" fontId="2" fillId="0" borderId="7" xfId="0" applyFont="1" applyBorder="1"/>
    <xf numFmtId="3" fontId="0" fillId="0" borderId="3" xfId="0" applyNumberFormat="1" applyBorder="1"/>
    <xf numFmtId="3" fontId="2" fillId="0" borderId="3" xfId="0" applyNumberFormat="1" applyFont="1" applyBorder="1"/>
    <xf numFmtId="3" fontId="0" fillId="0" borderId="14" xfId="0" applyNumberFormat="1" applyBorder="1"/>
    <xf numFmtId="167" fontId="6" fillId="0" borderId="3" xfId="3" applyNumberFormat="1" applyFont="1" applyBorder="1"/>
    <xf numFmtId="167" fontId="12" fillId="0" borderId="5" xfId="3" applyNumberFormat="1" applyFont="1" applyBorder="1"/>
    <xf numFmtId="167" fontId="12" fillId="0" borderId="6" xfId="0" applyNumberFormat="1" applyFont="1" applyBorder="1"/>
    <xf numFmtId="0" fontId="0" fillId="0" borderId="0" xfId="0" applyAlignment="1">
      <alignment vertical="top"/>
    </xf>
    <xf numFmtId="168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 vertical="top"/>
    </xf>
    <xf numFmtId="167" fontId="8" fillId="0" borderId="9" xfId="3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5" xfId="0" applyBorder="1"/>
    <xf numFmtId="3" fontId="0" fillId="0" borderId="0" xfId="0" applyNumberFormat="1"/>
    <xf numFmtId="0" fontId="8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3" fontId="2" fillId="0" borderId="14" xfId="0" applyNumberFormat="1" applyFont="1" applyBorder="1"/>
    <xf numFmtId="0" fontId="0" fillId="0" borderId="14" xfId="0" applyBorder="1"/>
    <xf numFmtId="3" fontId="6" fillId="0" borderId="14" xfId="0" applyNumberFormat="1" applyFont="1" applyBorder="1"/>
    <xf numFmtId="0" fontId="0" fillId="0" borderId="17" xfId="0" applyBorder="1"/>
    <xf numFmtId="0" fontId="8" fillId="2" borderId="9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0" fillId="2" borderId="5" xfId="0" applyFill="1" applyBorder="1"/>
    <xf numFmtId="0" fontId="0" fillId="0" borderId="21" xfId="0" applyBorder="1"/>
    <xf numFmtId="0" fontId="0" fillId="0" borderId="22" xfId="0" applyBorder="1"/>
    <xf numFmtId="167" fontId="0" fillId="0" borderId="22" xfId="3" applyNumberFormat="1" applyFont="1" applyBorder="1"/>
    <xf numFmtId="0" fontId="0" fillId="0" borderId="23" xfId="0" applyBorder="1"/>
    <xf numFmtId="0" fontId="0" fillId="2" borderId="22" xfId="0" applyFill="1" applyBorder="1"/>
    <xf numFmtId="0" fontId="0" fillId="0" borderId="24" xfId="0" applyBorder="1"/>
    <xf numFmtId="0" fontId="2" fillId="0" borderId="2" xfId="0" applyFont="1" applyBorder="1" applyAlignment="1">
      <alignment horizontal="left"/>
    </xf>
    <xf numFmtId="166" fontId="0" fillId="3" borderId="0" xfId="0" applyNumberFormat="1" applyFont="1" applyFill="1" applyAlignment="1">
      <alignment vertical="top"/>
    </xf>
    <xf numFmtId="0" fontId="0" fillId="4" borderId="1" xfId="0" applyFill="1" applyBorder="1"/>
    <xf numFmtId="0" fontId="14" fillId="0" borderId="0" xfId="0" applyFont="1" applyAlignment="1">
      <alignment vertical="top"/>
    </xf>
    <xf numFmtId="169" fontId="14" fillId="0" borderId="0" xfId="3" applyNumberFormat="1" applyFont="1" applyAlignment="1">
      <alignment vertical="top"/>
    </xf>
    <xf numFmtId="169" fontId="0" fillId="0" borderId="0" xfId="3" applyNumberFormat="1" applyFont="1" applyAlignment="1">
      <alignment vertical="top"/>
    </xf>
    <xf numFmtId="165" fontId="0" fillId="0" borderId="0" xfId="0" applyNumberFormat="1" applyAlignment="1">
      <alignment horizontal="center" vertical="top"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vertical="top" wrapText="1"/>
    </xf>
    <xf numFmtId="166" fontId="0" fillId="3" borderId="0" xfId="0" applyNumberFormat="1" applyFill="1" applyAlignment="1">
      <alignment vertical="top"/>
    </xf>
    <xf numFmtId="0" fontId="6" fillId="0" borderId="2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3" builtinId="3"/>
    <cellStyle name="Comma 2" xfId="1" xr:uid="{00000000-0005-0000-0000-000001000000}"/>
    <cellStyle name="Normal" xfId="0" builtinId="0"/>
    <cellStyle name="Normal 2" xfId="2" xr:uid="{00000000-0005-0000-0000-000003000000}"/>
  </cellStyles>
  <dxfs count="1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Sheet2!$F$1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Sheet2!$D$2:$D$25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Sheet2!$F$2:$F$25</c:f>
              <c:numCache>
                <c:formatCode>#\ ##0_ ;[Red]\-#\ 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B-48F3-9D1B-73F1EB38AA65}"/>
            </c:ext>
          </c:extLst>
        </c:ser>
        <c:ser>
          <c:idx val="2"/>
          <c:order val="1"/>
          <c:tx>
            <c:strRef>
              <c:f>Sheet2!$G$1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Sheet2!$D$2:$D$25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Sheet2!$G$2:$G$25</c:f>
              <c:numCache>
                <c:formatCode>#\ ##0_ ;[Red]\-#\ 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B-48F3-9D1B-73F1EB38A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8864"/>
        <c:axId val="126874752"/>
      </c:barChart>
      <c:catAx>
        <c:axId val="12686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74752"/>
        <c:crosses val="autoZero"/>
        <c:auto val="1"/>
        <c:lblAlgn val="ctr"/>
        <c:lblOffset val="100"/>
        <c:noMultiLvlLbl val="0"/>
      </c:catAx>
      <c:valAx>
        <c:axId val="126874752"/>
        <c:scaling>
          <c:orientation val="minMax"/>
        </c:scaling>
        <c:delete val="0"/>
        <c:axPos val="l"/>
        <c:majorGridlines/>
        <c:numFmt formatCode="#\ ##0_ ;[Red]\-#\ ##0" sourceLinked="1"/>
        <c:majorTickMark val="out"/>
        <c:minorTickMark val="none"/>
        <c:tickLblPos val="nextTo"/>
        <c:crossAx val="12686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128313</xdr:colOff>
      <xdr:row>0</xdr:row>
      <xdr:rowOff>0</xdr:rowOff>
    </xdr:from>
    <xdr:to>
      <xdr:col>8</xdr:col>
      <xdr:colOff>681989</xdr:colOff>
      <xdr:row>2</xdr:row>
      <xdr:rowOff>119006</xdr:rowOff>
    </xdr:to>
    <xdr:pic>
      <xdr:nvPicPr>
        <xdr:cNvPr id="2" name="Picture 1" descr="C:\Users\johrag\Dropbox\Poseidon\Bilder\Logo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263" y="0"/>
          <a:ext cx="553676" cy="549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133349</xdr:colOff>
      <xdr:row>17</xdr:row>
      <xdr:rowOff>0</xdr:rowOff>
    </xdr:from>
    <xdr:to>
      <xdr:col>28</xdr:col>
      <xdr:colOff>314324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krjo.VP-PC-088\AppData\Local\Microsoft\Windows\INetCache\Content.Outlook\OIESIBHR\2019%20Resultat%20Sv&#248;mmeklubben%20Poseidon%20og%20budsjett%20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&amp;Budsjett 2019"/>
      <sheetName val="Budsjett 2020 - årsmøte"/>
      <sheetName val="Budsjett 2020 - utkast"/>
      <sheetName val="Sheet2"/>
    </sheetNames>
    <sheetDataSet>
      <sheetData sheetId="0">
        <row r="5">
          <cell r="C5" t="str">
            <v>BUDSJETT</v>
          </cell>
        </row>
      </sheetData>
      <sheetData sheetId="1"/>
      <sheetData sheetId="2">
        <row r="55">
          <cell r="A55" t="str">
            <v>5014 - Lønn u/feriepenger</v>
          </cell>
        </row>
        <row r="56">
          <cell r="A56" t="str">
            <v>5015 - Bonus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erethe Pepevnik" id="{162734D0-D233-4E93-83E0-56C84DB0C088}" userId="S::mpe@no.efdgroup.net::853dbd02-7590-4d29-b708-b514bef3b35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4" dT="2021-01-02T15:57:55.08" personId="{162734D0-D233-4E93-83E0-56C84DB0C088}" id="{3412011E-209E-4189-AA0A-79E42EEE89CF}">
    <text>Handikapp svøm</text>
  </threadedComment>
  <threadedComment ref="L24" dT="2021-01-02T15:58:20.99" personId="{162734D0-D233-4E93-83E0-56C84DB0C088}" id="{88A7EF64-8E99-4591-9164-0BA9C3F32FEA}">
    <text>handikapp svøm</text>
  </threadedComment>
  <threadedComment ref="N24" dT="2021-01-02T15:58:45.30" personId="{162734D0-D233-4E93-83E0-56C84DB0C088}" id="{2E87A4B9-D529-4751-A1DC-6729174E02DD}">
    <text>handikapp svøm</text>
  </threadedComment>
  <threadedComment ref="R24" dT="2021-01-02T15:59:11.05" personId="{162734D0-D233-4E93-83E0-56C84DB0C088}" id="{1F59E4D5-0967-49B1-AD7C-50BFF442D616}">
    <text>handikapp svøm</text>
  </threadedComment>
  <threadedComment ref="J30" dT="2021-01-18T17:06:45.61" personId="{162734D0-D233-4E93-83E0-56C84DB0C088}" id="{C6220D82-AC5A-475A-8F4F-670BC3558C93}">
    <text>sponsorsvøm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24" dT="2021-01-02T15:57:55.08" personId="{162734D0-D233-4E93-83E0-56C84DB0C088}" id="{17329365-27DB-4ED4-9EAD-58A53FA7B574}">
    <text>Handikapp svøm</text>
  </threadedComment>
  <threadedComment ref="L24" dT="2021-01-02T15:58:20.99" personId="{162734D0-D233-4E93-83E0-56C84DB0C088}" id="{92D17AAC-389B-474F-97BE-825EDE1CF19F}">
    <text>handikapp svøm</text>
  </threadedComment>
  <threadedComment ref="N24" dT="2021-01-02T15:58:45.30" personId="{162734D0-D233-4E93-83E0-56C84DB0C088}" id="{2B6A5F0A-B149-4A52-A8AD-547432E0943F}">
    <text>handikapp svøm</text>
  </threadedComment>
  <threadedComment ref="R24" dT="2021-01-02T15:59:11.05" personId="{162734D0-D233-4E93-83E0-56C84DB0C088}" id="{D4032C37-69E1-4422-8FF2-05DD5D003B01}">
    <text>handikapp svøm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tabSelected="1" topLeftCell="A19" zoomScale="85" zoomScaleNormal="85" workbookViewId="0">
      <selection activeCell="L63" sqref="L63"/>
    </sheetView>
  </sheetViews>
  <sheetFormatPr defaultColWidth="9.140625" defaultRowHeight="15" x14ac:dyDescent="0.25"/>
  <cols>
    <col min="1" max="1" width="2.42578125" customWidth="1"/>
    <col min="2" max="2" width="38.42578125" bestFit="1" customWidth="1"/>
    <col min="3" max="3" width="14.5703125" style="7" customWidth="1"/>
    <col min="4" max="4" width="12.7109375" bestFit="1" customWidth="1"/>
    <col min="5" max="5" width="3.5703125" customWidth="1"/>
    <col min="6" max="6" width="2.42578125" customWidth="1"/>
    <col min="7" max="7" width="38.28515625" customWidth="1"/>
    <col min="8" max="8" width="13" customWidth="1"/>
    <col min="9" max="9" width="13.28515625" bestFit="1" customWidth="1"/>
  </cols>
  <sheetData>
    <row r="1" spans="1:9" ht="18.75" x14ac:dyDescent="0.3">
      <c r="A1" s="72" t="s">
        <v>46</v>
      </c>
      <c r="B1" s="72"/>
      <c r="C1" s="72"/>
      <c r="D1" s="72"/>
      <c r="E1" s="72"/>
      <c r="F1" s="72"/>
      <c r="G1" s="72"/>
      <c r="H1" s="72"/>
    </row>
    <row r="2" spans="1:9" x14ac:dyDescent="0.25">
      <c r="A2" s="73" t="s">
        <v>145</v>
      </c>
      <c r="B2" s="73"/>
      <c r="C2" s="73"/>
      <c r="D2" s="73"/>
      <c r="E2" s="73"/>
      <c r="F2" s="73"/>
      <c r="G2" s="73"/>
      <c r="H2" s="73"/>
    </row>
    <row r="3" spans="1:9" x14ac:dyDescent="0.25">
      <c r="A3" s="74" t="s">
        <v>113</v>
      </c>
      <c r="B3" s="74"/>
      <c r="C3" s="74"/>
      <c r="D3" s="74"/>
      <c r="E3" s="74"/>
      <c r="F3" s="74"/>
      <c r="G3" s="74"/>
      <c r="H3" s="74"/>
    </row>
    <row r="4" spans="1:9" ht="15.75" thickBot="1" x14ac:dyDescent="0.3">
      <c r="A4" s="9"/>
      <c r="B4" s="9"/>
      <c r="C4" s="9"/>
      <c r="D4" s="9"/>
      <c r="E4" s="9"/>
      <c r="F4" s="9"/>
      <c r="G4" s="9"/>
      <c r="H4" s="9"/>
    </row>
    <row r="5" spans="1:9" ht="16.5" thickTop="1" thickBot="1" x14ac:dyDescent="0.3">
      <c r="A5" s="76" t="s">
        <v>115</v>
      </c>
      <c r="B5" s="77"/>
      <c r="C5" s="34" t="s">
        <v>114</v>
      </c>
      <c r="D5" s="38" t="s">
        <v>137</v>
      </c>
      <c r="E5" s="44"/>
      <c r="F5" s="79" t="s">
        <v>116</v>
      </c>
      <c r="G5" s="80"/>
      <c r="H5" s="34" t="s">
        <v>114</v>
      </c>
      <c r="I5" s="35" t="s">
        <v>137</v>
      </c>
    </row>
    <row r="6" spans="1:9" ht="15.75" thickTop="1" x14ac:dyDescent="0.25">
      <c r="A6" s="49"/>
      <c r="B6" s="50"/>
      <c r="C6" s="51"/>
      <c r="D6" s="52"/>
      <c r="E6" s="53"/>
      <c r="F6" s="54"/>
      <c r="G6" s="50"/>
      <c r="H6" s="50"/>
      <c r="I6" s="36"/>
    </row>
    <row r="7" spans="1:9" x14ac:dyDescent="0.25">
      <c r="A7" s="78" t="str">
        <f>'Budsjett 2021'!B9</f>
        <v>Salgsinntekter</v>
      </c>
      <c r="B7" s="71"/>
      <c r="C7" s="12"/>
      <c r="D7" s="39"/>
      <c r="E7" s="45"/>
      <c r="F7" s="70" t="str">
        <f>'Budsjett 2021'!B35</f>
        <v>Varekostnad</v>
      </c>
      <c r="G7" s="71"/>
      <c r="H7" s="32"/>
      <c r="I7" s="17"/>
    </row>
    <row r="8" spans="1:9" x14ac:dyDescent="0.25">
      <c r="A8" s="18"/>
      <c r="B8" s="10" t="str">
        <f>'Budsjett 2021'!B10</f>
        <v>3300 - Videresalg av varer</v>
      </c>
      <c r="C8" s="11">
        <f>VLOOKUP(B8,'Budsjett 2021'!B:D,3,FALSE)</f>
        <v>-6000</v>
      </c>
      <c r="D8" s="26">
        <v>-73870</v>
      </c>
      <c r="E8" s="46"/>
      <c r="F8" s="23"/>
      <c r="G8" s="10" t="str">
        <f>'Budsjett 2021'!B36</f>
        <v>4010 - Startkontingenter</v>
      </c>
      <c r="H8" s="11">
        <f>VLOOKUP(G8,'Budsjett 2021'!B:D,3,FALSE)</f>
        <v>26000</v>
      </c>
      <c r="I8" s="24">
        <v>6900</v>
      </c>
    </row>
    <row r="9" spans="1:9" ht="15" customHeight="1" x14ac:dyDescent="0.25">
      <c r="A9" s="18"/>
      <c r="B9" s="10" t="str">
        <f>'Budsjett 2021'!B11</f>
        <v>3320 - Startavgift</v>
      </c>
      <c r="C9" s="11">
        <f>VLOOKUP(B9,'Budsjett 2021'!B:D,3,FALSE)</f>
        <v>-228000</v>
      </c>
      <c r="D9" s="26">
        <v>-260600</v>
      </c>
      <c r="E9" s="46"/>
      <c r="F9" s="23"/>
      <c r="G9" s="10" t="str">
        <f>'Budsjett 2021'!B38</f>
        <v>4110 - Kiosk</v>
      </c>
      <c r="H9" s="11">
        <f>VLOOKUP(G9,'Budsjett 2021'!B:D,3,FALSE)</f>
        <v>7000</v>
      </c>
      <c r="I9" s="24">
        <v>75612</v>
      </c>
    </row>
    <row r="10" spans="1:9" x14ac:dyDescent="0.25">
      <c r="A10" s="18"/>
      <c r="B10" s="10" t="str">
        <f>'Budsjett 2021'!B12</f>
        <v>3321 - Kiosk, inngang og program</v>
      </c>
      <c r="C10" s="11">
        <f>VLOOKUP(B10,'Budsjett 2021'!B:D,3,FALSE)</f>
        <v>-60000</v>
      </c>
      <c r="D10" s="26">
        <v>-105100</v>
      </c>
      <c r="E10" s="46"/>
      <c r="F10" s="23"/>
      <c r="G10" s="10" t="str">
        <f>'Budsjett 2021'!B39</f>
        <v>4111 - Kjøkken og overnatting</v>
      </c>
      <c r="H10" s="11">
        <f>VLOOKUP(G10,'Budsjett 2021'!B:D,3,FALSE)</f>
        <v>40000</v>
      </c>
      <c r="I10" s="24">
        <v>649290</v>
      </c>
    </row>
    <row r="11" spans="1:9" x14ac:dyDescent="0.25">
      <c r="A11" s="18"/>
      <c r="B11" s="10" t="str">
        <f>'Budsjett 2021'!B13</f>
        <v>3322 - Kjøkken og overnatting</v>
      </c>
      <c r="C11" s="11">
        <f>VLOOKUP(B11,'Budsjett 2021'!B:D,3,FALSE)</f>
        <v>-120000</v>
      </c>
      <c r="D11" s="26">
        <v>-712750</v>
      </c>
      <c r="E11" s="46"/>
      <c r="F11" s="23"/>
      <c r="G11" s="10" t="str">
        <f>'Budsjett 2021'!B40</f>
        <v>4112 - Dommere</v>
      </c>
      <c r="H11" s="11">
        <f>VLOOKUP(G11,'Budsjett 2021'!B:D,3,FALSE)</f>
        <v>7000</v>
      </c>
      <c r="I11" s="24">
        <v>24958</v>
      </c>
    </row>
    <row r="12" spans="1:9" x14ac:dyDescent="0.25">
      <c r="A12" s="18"/>
      <c r="B12" s="10" t="str">
        <f>'Budsjett 2021'!B14</f>
        <v>3323 - Andre inntekter stevner</v>
      </c>
      <c r="C12" s="11">
        <f>VLOOKUP(B12,'Budsjett 2021'!B:D,3,FALSE)</f>
        <v>0</v>
      </c>
      <c r="D12" s="26">
        <v>0</v>
      </c>
      <c r="E12" s="46"/>
      <c r="F12" s="23"/>
      <c r="G12" s="10" t="str">
        <f>'Budsjett 2021'!B41</f>
        <v>4115 - Premier svømmestevne</v>
      </c>
      <c r="H12" s="11">
        <f>VLOOKUP(G12,'Budsjett 2021'!B:D,3,FALSE)</f>
        <v>28000</v>
      </c>
      <c r="I12" s="24">
        <v>30672</v>
      </c>
    </row>
    <row r="13" spans="1:9" x14ac:dyDescent="0.25">
      <c r="A13" s="18"/>
      <c r="B13" s="10" t="str">
        <f>'Budsjett 2021'!B15</f>
        <v>3441 - Andre tilskudd</v>
      </c>
      <c r="C13" s="11">
        <f>VLOOKUP(B13,'Budsjett 2021'!B:D,3,FALSE)</f>
        <v>-260000</v>
      </c>
      <c r="D13" s="26">
        <v>-32292</v>
      </c>
      <c r="E13" s="46"/>
      <c r="F13" s="23"/>
      <c r="G13" s="10" t="str">
        <f>'Budsjett 2021'!B42</f>
        <v>4118 - Stevneutgifter</v>
      </c>
      <c r="H13" s="11">
        <f>VLOOKUP(G13,'Budsjett 2021'!B:D,3,FALSE)</f>
        <v>35000</v>
      </c>
      <c r="I13" s="24">
        <v>105554</v>
      </c>
    </row>
    <row r="14" spans="1:9" x14ac:dyDescent="0.25">
      <c r="A14" s="18"/>
      <c r="B14" s="10" t="str">
        <f>'Budsjett 2021'!B16</f>
        <v>3443 - Inntekter fra sponsor</v>
      </c>
      <c r="C14" s="11">
        <f>VLOOKUP(B14,'Budsjett 2021'!B:D,3,FALSE)</f>
        <v>-160000</v>
      </c>
      <c r="D14" s="26">
        <v>-196539</v>
      </c>
      <c r="E14" s="46"/>
      <c r="F14" s="23"/>
      <c r="G14" s="10" t="str">
        <f>'Budsjett 2021'!B43</f>
        <v>4125 - Lisenser nsf</v>
      </c>
      <c r="H14" s="11">
        <f>VLOOKUP(G14,'Budsjett 2021'!B:D,3,FALSE)</f>
        <v>1100</v>
      </c>
      <c r="I14" s="24">
        <v>0</v>
      </c>
    </row>
    <row r="15" spans="1:9" x14ac:dyDescent="0.25">
      <c r="A15" s="18"/>
      <c r="B15" s="10" t="str">
        <f>'Budsjett 2021'!B17</f>
        <v>3444 - Driftstilskudd porsgrunn kommune</v>
      </c>
      <c r="C15" s="11">
        <f>VLOOKUP(B15,'Budsjett 2021'!B:D,3,FALSE)</f>
        <v>-30000</v>
      </c>
      <c r="D15" s="26">
        <v>-2897</v>
      </c>
      <c r="E15" s="46"/>
      <c r="F15" s="23"/>
      <c r="G15" s="10" t="str">
        <f>'Budsjett 2021'!B44</f>
        <v>4200 - Representasjon</v>
      </c>
      <c r="H15" s="11">
        <f>VLOOKUP(G15,'Budsjett 2021'!B:D,3,FALSE)</f>
        <v>0</v>
      </c>
      <c r="I15" s="24">
        <v>0</v>
      </c>
    </row>
    <row r="16" spans="1:9" x14ac:dyDescent="0.25">
      <c r="A16" s="18"/>
      <c r="B16" s="10" t="str">
        <f>'Budsjett 2021'!B18</f>
        <v>3445 - Grasrotandel</v>
      </c>
      <c r="C16" s="11">
        <f>VLOOKUP(B16,'Budsjett 2021'!B:D,3,FALSE)</f>
        <v>-40000</v>
      </c>
      <c r="D16" s="26">
        <v>-40933</v>
      </c>
      <c r="E16" s="46"/>
      <c r="F16" s="23"/>
      <c r="G16" s="10" t="str">
        <f>'Budsjett 2021'!B45</f>
        <v>4205 - Sponsing av utøvere</v>
      </c>
      <c r="H16" s="11">
        <f>VLOOKUP(G16,'Budsjett 2021'!B:D,3,FALSE)</f>
        <v>0</v>
      </c>
      <c r="I16" s="24">
        <v>0</v>
      </c>
    </row>
    <row r="17" spans="1:11" x14ac:dyDescent="0.25">
      <c r="A17" s="18"/>
      <c r="B17" s="10" t="str">
        <f>'Budsjett 2021'!B19</f>
        <v>3446 - Svømmeaksjonen</v>
      </c>
      <c r="C17" s="11">
        <f>VLOOKUP(B17,'Budsjett 2021'!B:D,3,FALSE)</f>
        <v>0</v>
      </c>
      <c r="D17" s="26"/>
      <c r="E17" s="46"/>
      <c r="F17" s="23"/>
      <c r="G17" s="10" t="str">
        <f>'Budsjett 2021'!B46</f>
        <v>4210 - Utgifter treningsleir</v>
      </c>
      <c r="H17" s="11">
        <f>VLOOKUP(G17,'Budsjett 2021'!B:D,3,FALSE)</f>
        <v>10000</v>
      </c>
      <c r="I17" s="24">
        <v>14705</v>
      </c>
    </row>
    <row r="18" spans="1:11" x14ac:dyDescent="0.25">
      <c r="A18" s="18"/>
      <c r="B18" s="10" t="str">
        <f>'Budsjett 2021'!B20</f>
        <v>3447 - Momskompensasjon</v>
      </c>
      <c r="C18" s="11">
        <f>VLOOKUP(B18,'Budsjett 2021'!B:D,3,FALSE)</f>
        <v>-120000</v>
      </c>
      <c r="D18" s="26">
        <v>-124181</v>
      </c>
      <c r="E18" s="46"/>
      <c r="F18" s="23"/>
      <c r="G18" s="10" t="str">
        <f>'Budsjett 2021'!B47</f>
        <v>4230 - Utstyr til aktiviteter</v>
      </c>
      <c r="H18" s="11">
        <f>VLOOKUP(G18,'Budsjett 2021'!B:D,3,FALSE)</f>
        <v>3000</v>
      </c>
      <c r="I18" s="24">
        <v>21772</v>
      </c>
    </row>
    <row r="19" spans="1:11" ht="14.45" customHeight="1" x14ac:dyDescent="0.25">
      <c r="A19" s="81" t="str">
        <f>'Budsjett 2021'!B21</f>
        <v>Sum salgsinntekt</v>
      </c>
      <c r="B19" s="75"/>
      <c r="C19" s="13">
        <f>SUM(C8:C18)</f>
        <v>-1024000</v>
      </c>
      <c r="D19" s="40">
        <f>SUM(D8:D18)</f>
        <v>-1549162</v>
      </c>
      <c r="E19" s="46"/>
      <c r="F19" s="23"/>
      <c r="G19" s="10" t="str">
        <f>'Budsjett 2021'!B48</f>
        <v>4300 - Innkjøp av varer for videresalg</v>
      </c>
      <c r="H19" s="11">
        <f>VLOOKUP(G19,'Budsjett 2021'!B:D,3,FALSE)</f>
        <v>6000</v>
      </c>
      <c r="I19" s="24">
        <v>3900</v>
      </c>
    </row>
    <row r="20" spans="1:11" ht="14.45" customHeight="1" x14ac:dyDescent="0.25">
      <c r="A20" s="18"/>
      <c r="B20" s="10"/>
      <c r="C20" s="11"/>
      <c r="D20" s="41"/>
      <c r="E20" s="46"/>
      <c r="F20" s="23"/>
      <c r="G20" s="10" t="str">
        <f>'Budsjett 2021'!B49</f>
        <v>4350 - Tap på utmeldte medlemmer</v>
      </c>
      <c r="H20" s="11">
        <f>VLOOKUP(G20,'Budsjett 2021'!B:D,3,FALSE)</f>
        <v>0</v>
      </c>
      <c r="I20" s="24">
        <v>0</v>
      </c>
    </row>
    <row r="21" spans="1:11" ht="14.45" customHeight="1" x14ac:dyDescent="0.25">
      <c r="A21" s="81" t="str">
        <f>'Budsjett 2021'!B23</f>
        <v>Annen driftsinntekter</v>
      </c>
      <c r="B21" s="75"/>
      <c r="C21" s="75"/>
      <c r="D21" s="82"/>
      <c r="E21" s="47"/>
      <c r="F21" s="23"/>
      <c r="G21" s="10" t="str">
        <f>'Budsjett 2021'!B50</f>
        <v>4510 - Innleie av arbeidskraft</v>
      </c>
      <c r="H21" s="11">
        <f>VLOOKUP(G21,'Budsjett 2021'!B:D,3,FALSE)</f>
        <v>0</v>
      </c>
      <c r="I21" s="24">
        <v>8000</v>
      </c>
    </row>
    <row r="22" spans="1:11" ht="14.45" customHeight="1" x14ac:dyDescent="0.25">
      <c r="A22" s="55"/>
      <c r="B22" s="10" t="s">
        <v>143</v>
      </c>
      <c r="C22" s="11">
        <v>0</v>
      </c>
      <c r="D22" s="26">
        <v>-144222</v>
      </c>
      <c r="E22" s="46"/>
      <c r="F22" s="70" t="str">
        <f>'Budsjett 2021'!B51</f>
        <v>Sum varekostnad</v>
      </c>
      <c r="G22" s="71"/>
      <c r="H22" s="13">
        <f>SUM(H8:H21)</f>
        <v>163100</v>
      </c>
      <c r="I22" s="25">
        <f>SUM(I8:I21)</f>
        <v>941363</v>
      </c>
    </row>
    <row r="23" spans="1:11" ht="14.45" customHeight="1" x14ac:dyDescent="0.25">
      <c r="A23" s="18"/>
      <c r="B23" s="10" t="str">
        <f>'Budsjett 2021'!B24</f>
        <v>3910 - Kursinntekter</v>
      </c>
      <c r="C23" s="11">
        <f>VLOOKUP(B23,'Budsjett 2021'!B:D,3,FALSE)</f>
        <v>-340000</v>
      </c>
      <c r="D23" s="26">
        <v>-436196</v>
      </c>
      <c r="E23" s="46"/>
      <c r="F23" s="23"/>
      <c r="G23" s="10"/>
      <c r="H23" s="11"/>
      <c r="I23" s="16"/>
    </row>
    <row r="24" spans="1:11" ht="14.45" customHeight="1" x14ac:dyDescent="0.25">
      <c r="A24" s="18"/>
      <c r="B24" s="10" t="str">
        <f>'Budsjett 2021'!B25</f>
        <v>3912 - LAM</v>
      </c>
      <c r="C24" s="11">
        <f>VLOOKUP(B24,'Budsjett 2021'!B:D,3,FALSE)</f>
        <v>-50000</v>
      </c>
      <c r="D24" s="26">
        <v>-3000</v>
      </c>
      <c r="E24" s="46"/>
      <c r="F24" s="70" t="str">
        <f>'Budsjett 2021'!B54</f>
        <v>Lønnskostnader</v>
      </c>
      <c r="G24" s="71"/>
      <c r="H24" s="11"/>
      <c r="I24" s="16"/>
    </row>
    <row r="25" spans="1:11" ht="14.45" customHeight="1" x14ac:dyDescent="0.25">
      <c r="A25" s="18"/>
      <c r="B25" s="10" t="str">
        <f>'Budsjett 2021'!B26</f>
        <v>3913 - Inntekt treningsleir</v>
      </c>
      <c r="C25" s="11">
        <f>VLOOKUP(B25,'Budsjett 2021'!B:D,3,FALSE)</f>
        <v>0</v>
      </c>
      <c r="D25" s="26">
        <v>0</v>
      </c>
      <c r="E25" s="46"/>
      <c r="F25" s="23"/>
      <c r="G25" s="10" t="str">
        <f>'Budsjett 2021'!B55</f>
        <v>5010 - Lønn over grensen for arb.g.avgift</v>
      </c>
      <c r="H25" s="11">
        <f>VLOOKUP(G25,'Budsjett 2021'!B:D,3,FALSE)</f>
        <v>1025000</v>
      </c>
      <c r="I25" s="24">
        <v>993979</v>
      </c>
    </row>
    <row r="26" spans="1:11" x14ac:dyDescent="0.25">
      <c r="A26" s="18"/>
      <c r="B26" s="10" t="str">
        <f>'Budsjett 2021'!B27</f>
        <v>3914 - Leieinntekter trener</v>
      </c>
      <c r="C26" s="11">
        <f>VLOOKUP(B26,'Budsjett 2021'!B:D,3,FALSE)</f>
        <v>0</v>
      </c>
      <c r="D26" s="26">
        <v>-150000</v>
      </c>
      <c r="E26" s="46"/>
      <c r="F26" s="23"/>
      <c r="G26" s="10" t="str">
        <f>'Budsjett 2021'!B56</f>
        <v>5011 - Lønn m/feriepenger</v>
      </c>
      <c r="H26" s="11">
        <f>VLOOKUP(G26,'Budsjett 2021'!B:D,3,FALSE)</f>
        <v>0</v>
      </c>
      <c r="I26" s="24">
        <v>0</v>
      </c>
    </row>
    <row r="27" spans="1:11" x14ac:dyDescent="0.25">
      <c r="A27" s="18"/>
      <c r="B27" s="10" t="str">
        <f>'Budsjett 2021'!B28</f>
        <v>3920 - Treningsavgift</v>
      </c>
      <c r="C27" s="11">
        <f>VLOOKUP(B27,'Budsjett 2021'!B:D,3,FALSE)</f>
        <v>-220000</v>
      </c>
      <c r="D27" s="26">
        <v>-192775</v>
      </c>
      <c r="E27" s="46"/>
      <c r="F27" s="23"/>
      <c r="G27" s="10" t="str">
        <f>'Budsjett 2021'!B57</f>
        <v>5012 - Fradrag for bilgodtgjørsle</v>
      </c>
      <c r="H27" s="11">
        <f>VLOOKUP(G27,'Budsjett 2021'!B:D,3,FALSE)</f>
        <v>0</v>
      </c>
      <c r="I27" s="24">
        <v>0</v>
      </c>
    </row>
    <row r="28" spans="1:11" x14ac:dyDescent="0.25">
      <c r="A28" s="18"/>
      <c r="B28" s="10" t="str">
        <f>'Budsjett 2021'!B29</f>
        <v>3925 - Medlemskontingenter</v>
      </c>
      <c r="C28" s="11">
        <f>VLOOKUP(B28,'Budsjett 2021'!B:D,3,FALSE)</f>
        <v>-15000</v>
      </c>
      <c r="D28" s="26">
        <v>-9300</v>
      </c>
      <c r="E28" s="46"/>
      <c r="F28" s="23"/>
      <c r="G28" s="57" t="str">
        <f>'[1]Budsjett 2020 - utkast'!A55</f>
        <v>5014 - Lønn u/feriepenger</v>
      </c>
      <c r="H28" s="11">
        <f>VLOOKUP(G28,'Budsjett 2021'!B:D,3,FALSE)</f>
        <v>45000</v>
      </c>
      <c r="I28" s="24">
        <v>0</v>
      </c>
      <c r="K28" t="s">
        <v>146</v>
      </c>
    </row>
    <row r="29" spans="1:11" x14ac:dyDescent="0.25">
      <c r="A29" s="18"/>
      <c r="B29" s="10" t="str">
        <f>'Budsjett 2021'!B30</f>
        <v>3970 - Dugnad</v>
      </c>
      <c r="C29" s="11">
        <f>VLOOKUP(B29,'Budsjett 2021'!B:D,3,FALSE)</f>
        <v>-155000</v>
      </c>
      <c r="D29" s="26">
        <v>-53250</v>
      </c>
      <c r="E29" s="46"/>
      <c r="F29" s="23"/>
      <c r="G29" s="57" t="str">
        <f>'[1]Budsjett 2020 - utkast'!A56</f>
        <v>5015 - Bonus</v>
      </c>
      <c r="H29" s="11"/>
      <c r="I29" s="24">
        <v>16788</v>
      </c>
    </row>
    <row r="30" spans="1:11" x14ac:dyDescent="0.25">
      <c r="A30" s="18"/>
      <c r="B30" s="10" t="str">
        <f>'Budsjett 2021'!B31</f>
        <v>3975 - Loddsalg</v>
      </c>
      <c r="C30" s="11">
        <f>VLOOKUP(B30,'Budsjett 2021'!B:D,3,FALSE)</f>
        <v>-5000</v>
      </c>
      <c r="D30" s="26">
        <v>0</v>
      </c>
      <c r="E30" s="46"/>
      <c r="F30" s="23"/>
      <c r="G30" s="10" t="str">
        <f>'Budsjett 2021'!B59</f>
        <v>5090 - Avsatt feriepenger</v>
      </c>
      <c r="H30" s="11">
        <f>VLOOKUP(G30,'Budsjett 2021'!B:D,3,FALSE)</f>
        <v>104550</v>
      </c>
      <c r="I30" s="24">
        <v>101421</v>
      </c>
    </row>
    <row r="31" spans="1:11" x14ac:dyDescent="0.25">
      <c r="A31" s="81" t="str">
        <f>'Budsjett 2021'!B32</f>
        <v>Sum annen driftsinntekt</v>
      </c>
      <c r="B31" s="75"/>
      <c r="C31" s="13">
        <f>SUM(C22:C30)</f>
        <v>-785000</v>
      </c>
      <c r="D31" s="40">
        <f>SUM(D22:D30)</f>
        <v>-988743</v>
      </c>
      <c r="E31" s="46"/>
      <c r="F31" s="23"/>
      <c r="G31" s="10" t="s">
        <v>139</v>
      </c>
      <c r="H31" s="11">
        <v>44400</v>
      </c>
      <c r="I31" s="24">
        <v>44809</v>
      </c>
    </row>
    <row r="32" spans="1:11" x14ac:dyDescent="0.25">
      <c r="A32" s="15"/>
      <c r="B32" s="10"/>
      <c r="C32" s="11"/>
      <c r="D32" s="41"/>
      <c r="E32" s="46"/>
      <c r="F32" s="23"/>
      <c r="G32" s="10" t="str">
        <f>'Budsjett 2021'!B61</f>
        <v>5410 - Arbeidsgiveravgift</v>
      </c>
      <c r="H32" s="11">
        <f>VLOOKUP(G32,'Budsjett 2021'!B:D,3,FALSE)</f>
        <v>143500.00000000003</v>
      </c>
      <c r="I32" s="24">
        <v>159153</v>
      </c>
    </row>
    <row r="33" spans="1:11" x14ac:dyDescent="0.25">
      <c r="A33" s="15"/>
      <c r="B33" s="10"/>
      <c r="C33" s="11"/>
      <c r="D33" s="41"/>
      <c r="E33" s="46"/>
      <c r="F33" s="23"/>
      <c r="G33" s="10" t="str">
        <f>'Budsjett 2021'!B62</f>
        <v>5490 - Avsatt arb.g.avg. feriepenger</v>
      </c>
      <c r="H33" s="11">
        <f>VLOOKUP(G33,'Budsjett 2021'!B:D,3,FALSE)</f>
        <v>14637</v>
      </c>
      <c r="I33" s="24">
        <v>4032</v>
      </c>
    </row>
    <row r="34" spans="1:11" x14ac:dyDescent="0.25">
      <c r="A34" s="15"/>
      <c r="B34" s="10"/>
      <c r="C34" s="11"/>
      <c r="D34" s="41"/>
      <c r="E34" s="46"/>
      <c r="F34" s="71" t="str">
        <f>'Budsjett 2021'!B63</f>
        <v>Sum lønnskostnad</v>
      </c>
      <c r="G34" s="75"/>
      <c r="H34" s="13">
        <f>SUM(H25:H33)</f>
        <v>1377087</v>
      </c>
      <c r="I34" s="25">
        <f>SUM(I25:I33)+6800+2807+1</f>
        <v>1329790</v>
      </c>
    </row>
    <row r="35" spans="1:11" x14ac:dyDescent="0.25">
      <c r="A35" s="15"/>
      <c r="B35" s="10"/>
      <c r="C35" s="11"/>
      <c r="D35" s="41"/>
      <c r="E35" s="46"/>
      <c r="F35" s="23"/>
      <c r="G35" s="10"/>
      <c r="H35" s="11"/>
      <c r="I35" s="16"/>
    </row>
    <row r="36" spans="1:11" x14ac:dyDescent="0.25">
      <c r="A36" s="15"/>
      <c r="B36" s="10"/>
      <c r="C36" s="11"/>
      <c r="D36" s="41"/>
      <c r="E36" s="46"/>
      <c r="F36" s="70" t="str">
        <f>'Budsjett 2021'!B65</f>
        <v>Annen driftskostnad</v>
      </c>
      <c r="G36" s="71"/>
      <c r="H36" s="11"/>
      <c r="I36" s="16"/>
    </row>
    <row r="37" spans="1:11" x14ac:dyDescent="0.25">
      <c r="A37" s="15"/>
      <c r="B37" s="10"/>
      <c r="C37" s="11"/>
      <c r="D37" s="41"/>
      <c r="E37" s="46"/>
      <c r="F37" s="23"/>
      <c r="G37" s="10" t="str">
        <f>'Budsjett 2021'!B66</f>
        <v>6310 - Leie lokaler</v>
      </c>
      <c r="H37" s="11">
        <f>VLOOKUP(G37,'Budsjett 2021'!B:D,3,FALSE)</f>
        <v>15000</v>
      </c>
      <c r="I37" s="24">
        <v>18795</v>
      </c>
      <c r="J37" s="37"/>
    </row>
    <row r="38" spans="1:11" x14ac:dyDescent="0.25">
      <c r="A38" s="15"/>
      <c r="B38" s="10"/>
      <c r="C38" s="11"/>
      <c r="D38" s="41"/>
      <c r="E38" s="46"/>
      <c r="F38" s="23"/>
      <c r="G38" s="10" t="str">
        <f>'Budsjett 2021'!B67</f>
        <v>6311 - Inngang andre svømmehaller</v>
      </c>
      <c r="H38" s="11">
        <f>VLOOKUP(G38,'Budsjett 2021'!B:D,3,FALSE)</f>
        <v>1500</v>
      </c>
      <c r="I38" s="24">
        <v>1370</v>
      </c>
      <c r="J38" s="37"/>
    </row>
    <row r="39" spans="1:11" x14ac:dyDescent="0.25">
      <c r="A39" s="15"/>
      <c r="B39" s="10"/>
      <c r="C39" s="11"/>
      <c r="D39" s="41"/>
      <c r="E39" s="46"/>
      <c r="F39" s="23"/>
      <c r="G39" s="10" t="str">
        <f>'Budsjett 2021'!B68</f>
        <v>6490 - Leie postboks</v>
      </c>
      <c r="H39" s="11">
        <f>VLOOKUP(G39,'Budsjett 2021'!B:D,3,FALSE)</f>
        <v>1130</v>
      </c>
      <c r="I39" s="24">
        <v>1275</v>
      </c>
      <c r="J39" s="37"/>
    </row>
    <row r="40" spans="1:11" x14ac:dyDescent="0.25">
      <c r="A40" s="15"/>
      <c r="B40" s="10"/>
      <c r="C40" s="11"/>
      <c r="D40" s="41"/>
      <c r="E40" s="46"/>
      <c r="F40" s="23"/>
      <c r="G40" s="10" t="str">
        <f>'Budsjett 2021'!B69</f>
        <v>6550 - Utstyr til svømmehall</v>
      </c>
      <c r="H40" s="11">
        <f>VLOOKUP(G40,'Budsjett 2021'!B:D,3,FALSE)</f>
        <v>4000</v>
      </c>
      <c r="I40" s="24">
        <f>-45154+9312</f>
        <v>-35842</v>
      </c>
      <c r="J40" s="37"/>
      <c r="K40" t="s">
        <v>147</v>
      </c>
    </row>
    <row r="41" spans="1:11" x14ac:dyDescent="0.25">
      <c r="A41" s="15"/>
      <c r="B41" s="10"/>
      <c r="C41" s="11"/>
      <c r="D41" s="41"/>
      <c r="E41" s="46"/>
      <c r="F41" s="23"/>
      <c r="G41" s="10" t="str">
        <f>'Budsjett 2021'!B70</f>
        <v>6570 - Arbeidsklær og svømmeutstyr</v>
      </c>
      <c r="H41" s="11">
        <f>VLOOKUP(G41,'Budsjett 2021'!B:D,3,FALSE)</f>
        <v>6000</v>
      </c>
      <c r="I41" s="24">
        <v>2685</v>
      </c>
      <c r="J41" s="37"/>
    </row>
    <row r="42" spans="1:11" x14ac:dyDescent="0.25">
      <c r="A42" s="15"/>
      <c r="B42" s="10"/>
      <c r="C42" s="11"/>
      <c r="D42" s="41"/>
      <c r="E42" s="46"/>
      <c r="F42" s="23"/>
      <c r="G42" s="10" t="str">
        <f>'Budsjett 2021'!B71</f>
        <v>6705 - Regnskapshonorar</v>
      </c>
      <c r="H42" s="11">
        <f>VLOOKUP(G42,'Budsjett 2021'!B:D,3,FALSE)</f>
        <v>53000</v>
      </c>
      <c r="I42" s="24">
        <v>53623</v>
      </c>
      <c r="J42" s="37"/>
    </row>
    <row r="43" spans="1:11" x14ac:dyDescent="0.25">
      <c r="A43" s="15"/>
      <c r="B43" s="10"/>
      <c r="C43" s="11"/>
      <c r="D43" s="41"/>
      <c r="E43" s="46"/>
      <c r="F43" s="23"/>
      <c r="G43" s="10" t="s">
        <v>148</v>
      </c>
      <c r="H43" s="11"/>
      <c r="I43" s="24">
        <v>11069</v>
      </c>
      <c r="J43" s="37"/>
    </row>
    <row r="44" spans="1:11" x14ac:dyDescent="0.25">
      <c r="A44" s="15"/>
      <c r="B44" s="10"/>
      <c r="C44" s="11"/>
      <c r="D44" s="41"/>
      <c r="E44" s="46"/>
      <c r="F44" s="23"/>
      <c r="G44" s="10" t="str">
        <f>'Budsjett 2021'!B72</f>
        <v>6800 - Kontorrekvisita</v>
      </c>
      <c r="H44" s="11">
        <f>VLOOKUP(G44,'Budsjett 2021'!B:D,3,FALSE)</f>
        <v>3000</v>
      </c>
      <c r="I44" s="24">
        <v>4193</v>
      </c>
      <c r="J44" s="37"/>
    </row>
    <row r="45" spans="1:11" x14ac:dyDescent="0.25">
      <c r="A45" s="15"/>
      <c r="B45" s="10"/>
      <c r="C45" s="11"/>
      <c r="D45" s="41"/>
      <c r="E45" s="46"/>
      <c r="F45" s="23"/>
      <c r="G45" s="10" t="str">
        <f>'Budsjett 2021'!B73</f>
        <v>6810 - Data/edb-kostnad</v>
      </c>
      <c r="H45" s="11">
        <f>VLOOKUP(G45,'Budsjett 2021'!B:D,3,FALSE)</f>
        <v>17600</v>
      </c>
      <c r="I45" s="24">
        <v>11106</v>
      </c>
      <c r="J45" s="37"/>
    </row>
    <row r="46" spans="1:11" x14ac:dyDescent="0.25">
      <c r="A46" s="15"/>
      <c r="B46" s="10"/>
      <c r="C46" s="11"/>
      <c r="D46" s="41"/>
      <c r="E46" s="46"/>
      <c r="F46" s="23"/>
      <c r="G46" s="10" t="str">
        <f>'Budsjett 2021'!B74</f>
        <v>6840 - Aviser / bøker / tidsskrifter</v>
      </c>
      <c r="H46" s="11">
        <f>VLOOKUP(G46,'Budsjett 2021'!B:D,3,FALSE)</f>
        <v>500</v>
      </c>
      <c r="I46" s="24">
        <v>0</v>
      </c>
      <c r="J46" s="37"/>
    </row>
    <row r="47" spans="1:11" x14ac:dyDescent="0.25">
      <c r="A47" s="15"/>
      <c r="B47" s="10"/>
      <c r="C47" s="11"/>
      <c r="D47" s="41"/>
      <c r="E47" s="46"/>
      <c r="F47" s="23"/>
      <c r="G47" s="10" t="str">
        <f>'Budsjett 2021'!B75</f>
        <v>6850 - Sosiale kostnader klubben</v>
      </c>
      <c r="H47" s="11">
        <f>VLOOKUP(G47,'Budsjett 2021'!B:D,3,FALSE)</f>
        <v>8000</v>
      </c>
      <c r="I47" s="24">
        <v>932</v>
      </c>
      <c r="J47" s="37"/>
    </row>
    <row r="48" spans="1:11" x14ac:dyDescent="0.25">
      <c r="A48" s="15"/>
      <c r="B48" s="10"/>
      <c r="C48" s="11"/>
      <c r="D48" s="41"/>
      <c r="E48" s="46"/>
      <c r="F48" s="23"/>
      <c r="G48" s="10" t="str">
        <f>'Budsjett 2021'!B76</f>
        <v>6860 - Møter, kurs, oppdatering</v>
      </c>
      <c r="H48" s="11">
        <f>VLOOKUP(G48,'Budsjett 2021'!B:D,3,FALSE)</f>
        <v>12500</v>
      </c>
      <c r="I48" s="24">
        <v>21786</v>
      </c>
      <c r="J48" s="37"/>
    </row>
    <row r="49" spans="1:10" x14ac:dyDescent="0.25">
      <c r="A49" s="15"/>
      <c r="B49" s="10"/>
      <c r="C49" s="11"/>
      <c r="D49" s="41"/>
      <c r="E49" s="46"/>
      <c r="F49" s="23"/>
      <c r="G49" s="10" t="str">
        <f>'Budsjett 2021'!B77</f>
        <v>6900 - Telefon</v>
      </c>
      <c r="H49" s="11">
        <f>VLOOKUP(G49,'Budsjett 2021'!B:D,3,FALSE)</f>
        <v>0</v>
      </c>
      <c r="I49" s="24"/>
      <c r="J49" s="37"/>
    </row>
    <row r="50" spans="1:10" x14ac:dyDescent="0.25">
      <c r="A50" s="15"/>
      <c r="B50" s="10"/>
      <c r="C50" s="11"/>
      <c r="D50" s="41"/>
      <c r="E50" s="46"/>
      <c r="F50" s="23"/>
      <c r="G50" s="10" t="str">
        <f>'Budsjett 2021'!B78</f>
        <v>6940 - Porto</v>
      </c>
      <c r="H50" s="11">
        <f>VLOOKUP(G50,'Budsjett 2021'!B:D,3,FALSE)</f>
        <v>200</v>
      </c>
      <c r="I50" s="24"/>
      <c r="J50" s="37"/>
    </row>
    <row r="51" spans="1:10" x14ac:dyDescent="0.25">
      <c r="A51" s="15"/>
      <c r="B51" s="10"/>
      <c r="C51" s="11"/>
      <c r="D51" s="41"/>
      <c r="E51" s="46"/>
      <c r="F51" s="23"/>
      <c r="G51" s="10" t="str">
        <f>'Budsjett 2021'!B79</f>
        <v>7100 - Bilgodtgjørsle</v>
      </c>
      <c r="H51" s="11">
        <f>VLOOKUP(G51,'Budsjett 2021'!B:D,3,FALSE)</f>
        <v>5500</v>
      </c>
      <c r="I51" s="24">
        <f>2275+375</f>
        <v>2650</v>
      </c>
      <c r="J51" s="37"/>
    </row>
    <row r="52" spans="1:10" x14ac:dyDescent="0.25">
      <c r="A52" s="15"/>
      <c r="B52" s="10"/>
      <c r="C52" s="11"/>
      <c r="D52" s="41"/>
      <c r="E52" s="46"/>
      <c r="F52" s="23"/>
      <c r="G52" s="10" t="str">
        <f>'Budsjett 2021'!B80</f>
        <v>7140 - Reisekosnad</v>
      </c>
      <c r="H52" s="11">
        <f>VLOOKUP(G52,'Budsjett 2021'!B:D,3,FALSE)</f>
        <v>36000</v>
      </c>
      <c r="I52" s="24">
        <v>48011</v>
      </c>
      <c r="J52" s="37"/>
    </row>
    <row r="53" spans="1:10" x14ac:dyDescent="0.25">
      <c r="A53" s="15"/>
      <c r="B53" s="10"/>
      <c r="C53" s="11"/>
      <c r="D53" s="41"/>
      <c r="E53" s="46"/>
      <c r="F53" s="23"/>
      <c r="G53" s="10" t="str">
        <f>'Budsjett 2021'!B81</f>
        <v>7150 - Diettkostnad</v>
      </c>
      <c r="H53" s="11">
        <f>VLOOKUP(G53,'Budsjett 2021'!B:D,3,FALSE)</f>
        <v>12000</v>
      </c>
      <c r="I53" s="24">
        <v>3604</v>
      </c>
      <c r="J53" s="37"/>
    </row>
    <row r="54" spans="1:10" x14ac:dyDescent="0.25">
      <c r="A54" s="15"/>
      <c r="B54" s="10"/>
      <c r="C54" s="11"/>
      <c r="D54" s="41"/>
      <c r="E54" s="46"/>
      <c r="F54" s="23"/>
      <c r="G54" s="10" t="str">
        <f>'Budsjett 2021'!B82</f>
        <v>7320 - Annonsekostnader</v>
      </c>
      <c r="H54" s="11">
        <f>VLOOKUP(G54,'Budsjett 2021'!B:D,3,FALSE)</f>
        <v>12000</v>
      </c>
      <c r="I54" s="24"/>
      <c r="J54" s="37"/>
    </row>
    <row r="55" spans="1:10" x14ac:dyDescent="0.25">
      <c r="A55" s="15"/>
      <c r="B55" s="10"/>
      <c r="C55" s="11"/>
      <c r="D55" s="41"/>
      <c r="E55" s="46"/>
      <c r="F55" s="23"/>
      <c r="G55" s="10" t="str">
        <f>'Budsjett 2021'!B83</f>
        <v>7400 - Kontingenter</v>
      </c>
      <c r="H55" s="11">
        <f>VLOOKUP(G55,'Budsjett 2021'!B:D,3,FALSE)</f>
        <v>1000</v>
      </c>
      <c r="I55" s="24"/>
      <c r="J55" s="37"/>
    </row>
    <row r="56" spans="1:10" x14ac:dyDescent="0.25">
      <c r="A56" s="15"/>
      <c r="B56" s="10"/>
      <c r="C56" s="11"/>
      <c r="D56" s="41"/>
      <c r="E56" s="46"/>
      <c r="F56" s="23"/>
      <c r="G56" s="10" t="str">
        <f>'Budsjett 2021'!B84</f>
        <v>7420 - Gave</v>
      </c>
      <c r="H56" s="11">
        <f>VLOOKUP(G56,'Budsjett 2021'!B:D,3,FALSE)</f>
        <v>3000</v>
      </c>
      <c r="I56" s="24">
        <v>7669</v>
      </c>
      <c r="J56" s="37"/>
    </row>
    <row r="57" spans="1:10" x14ac:dyDescent="0.25">
      <c r="A57" s="15"/>
      <c r="B57" s="10"/>
      <c r="C57" s="11"/>
      <c r="D57" s="41"/>
      <c r="E57" s="46"/>
      <c r="F57" s="23"/>
      <c r="G57" s="10" t="s">
        <v>138</v>
      </c>
      <c r="H57" s="11">
        <v>18000</v>
      </c>
      <c r="I57" s="24">
        <v>16000</v>
      </c>
      <c r="J57" s="37"/>
    </row>
    <row r="58" spans="1:10" x14ac:dyDescent="0.25">
      <c r="A58" s="15"/>
      <c r="B58" s="10"/>
      <c r="C58" s="11"/>
      <c r="D58" s="41"/>
      <c r="E58" s="46"/>
      <c r="F58" s="23"/>
      <c r="G58" s="10" t="str">
        <f>'Budsjett 2021'!B87</f>
        <v>7770 - Bank- og kort gebyr</v>
      </c>
      <c r="H58" s="11">
        <f>VLOOKUP(G58,'Budsjett 2021'!B:D,3,FALSE)</f>
        <v>3000</v>
      </c>
      <c r="I58" s="24">
        <v>11070</v>
      </c>
      <c r="J58" s="37"/>
    </row>
    <row r="59" spans="1:10" x14ac:dyDescent="0.25">
      <c r="A59" s="15"/>
      <c r="B59" s="10"/>
      <c r="C59" s="11"/>
      <c r="D59" s="41"/>
      <c r="E59" s="46"/>
      <c r="F59" s="23"/>
      <c r="G59" s="10" t="str">
        <f>'Budsjett 2021'!B88</f>
        <v>7790 - Andre kostnader</v>
      </c>
      <c r="H59" s="11">
        <f>VLOOKUP(G59,'Budsjett 2021'!B:D,3,FALSE)</f>
        <v>2000</v>
      </c>
      <c r="I59" s="24">
        <v>704</v>
      </c>
      <c r="J59" s="37"/>
    </row>
    <row r="60" spans="1:10" x14ac:dyDescent="0.25">
      <c r="A60" s="15"/>
      <c r="B60" s="10"/>
      <c r="C60" s="11"/>
      <c r="D60" s="41"/>
      <c r="E60" s="46"/>
      <c r="F60" s="70" t="str">
        <f>'Budsjett 2021'!B89</f>
        <v>Sum annen driftskostnad</v>
      </c>
      <c r="G60" s="71"/>
      <c r="H60" s="13">
        <f>SUM(H37:H59)</f>
        <v>214930</v>
      </c>
      <c r="I60" s="25">
        <f>SUM(I37:I59)-30</f>
        <v>180670</v>
      </c>
    </row>
    <row r="61" spans="1:10" ht="15.75" x14ac:dyDescent="0.25">
      <c r="A61" s="15"/>
      <c r="B61" s="10"/>
      <c r="C61" s="11"/>
      <c r="D61" s="41"/>
      <c r="E61" s="46"/>
      <c r="F61" s="69" t="str">
        <f>'Budsjett 2021'!B90</f>
        <v>Sum driftskostnader</v>
      </c>
      <c r="G61" s="68"/>
      <c r="H61" s="14">
        <f>SUM(H22+H34+H60)</f>
        <v>1755117</v>
      </c>
      <c r="I61" s="27">
        <f>SUM(I22+I34+I60)+1</f>
        <v>2451824</v>
      </c>
    </row>
    <row r="62" spans="1:10" ht="15.75" x14ac:dyDescent="0.25">
      <c r="A62" s="67" t="str">
        <f>'Budsjett 2021'!B33</f>
        <v>Sum driftsinntekter</v>
      </c>
      <c r="B62" s="68"/>
      <c r="C62" s="14">
        <f>SUM(C19+C31)</f>
        <v>-1809000</v>
      </c>
      <c r="D62" s="42">
        <f>SUM(D19+D31)</f>
        <v>-2537905</v>
      </c>
      <c r="E62" s="46"/>
      <c r="F62" s="22"/>
      <c r="G62" s="10" t="s">
        <v>44</v>
      </c>
      <c r="H62" s="10"/>
      <c r="I62" s="16">
        <v>-62</v>
      </c>
    </row>
    <row r="63" spans="1:10" x14ac:dyDescent="0.25">
      <c r="A63" s="18"/>
      <c r="B63" s="10"/>
      <c r="C63" s="11"/>
      <c r="D63" s="41"/>
      <c r="E63" s="46"/>
      <c r="F63" s="22"/>
      <c r="G63" s="10" t="s">
        <v>45</v>
      </c>
      <c r="H63" s="10"/>
      <c r="I63" s="16">
        <v>18</v>
      </c>
    </row>
    <row r="64" spans="1:10" ht="16.5" thickBot="1" x14ac:dyDescent="0.3">
      <c r="A64" s="15"/>
      <c r="B64" s="10"/>
      <c r="C64" s="11"/>
      <c r="D64" s="41"/>
      <c r="E64" s="48"/>
      <c r="F64" s="65" t="s">
        <v>117</v>
      </c>
      <c r="G64" s="66"/>
      <c r="H64" s="28">
        <f>C62+H61</f>
        <v>-53883</v>
      </c>
      <c r="I64" s="29">
        <f>D62+I61+I62+I63</f>
        <v>-86125</v>
      </c>
    </row>
    <row r="65" spans="1:4" ht="17.25" thickTop="1" thickBot="1" x14ac:dyDescent="0.3">
      <c r="A65" s="19"/>
      <c r="B65" s="20"/>
      <c r="C65" s="21"/>
      <c r="D65" s="43"/>
    </row>
    <row r="66" spans="1:4" ht="15.75" thickTop="1" x14ac:dyDescent="0.25">
      <c r="A66" s="1"/>
    </row>
    <row r="67" spans="1:4" x14ac:dyDescent="0.25">
      <c r="A67" s="1"/>
    </row>
    <row r="68" spans="1:4" x14ac:dyDescent="0.25">
      <c r="A68" s="1"/>
    </row>
    <row r="69" spans="1:4" x14ac:dyDescent="0.25">
      <c r="A69" s="1"/>
      <c r="B69" t="s">
        <v>118</v>
      </c>
      <c r="C69" s="31">
        <f>(C62='Budsjett 2021'!F33)*1</f>
        <v>1</v>
      </c>
    </row>
    <row r="70" spans="1:4" x14ac:dyDescent="0.25">
      <c r="A70" s="1"/>
      <c r="B70" t="s">
        <v>119</v>
      </c>
      <c r="C70" s="31">
        <f>(H61='Budsjett 2021'!F90)*1</f>
        <v>1</v>
      </c>
    </row>
    <row r="71" spans="1:4" x14ac:dyDescent="0.25">
      <c r="A71" s="1"/>
      <c r="B71" t="s">
        <v>120</v>
      </c>
      <c r="C71" s="31">
        <f>(H64='Budsjett 2021'!F102)*1</f>
        <v>1</v>
      </c>
    </row>
    <row r="72" spans="1:4" x14ac:dyDescent="0.25">
      <c r="A72" s="1"/>
    </row>
    <row r="73" spans="1:4" x14ac:dyDescent="0.25">
      <c r="A73" s="1"/>
      <c r="C73" s="8"/>
    </row>
    <row r="74" spans="1:4" x14ac:dyDescent="0.25">
      <c r="A74" s="1"/>
    </row>
    <row r="76" spans="1:4" x14ac:dyDescent="0.25">
      <c r="A76" s="1"/>
    </row>
    <row r="77" spans="1:4" x14ac:dyDescent="0.25">
      <c r="A77" s="1"/>
    </row>
    <row r="78" spans="1:4" x14ac:dyDescent="0.25">
      <c r="A78" s="1"/>
    </row>
    <row r="79" spans="1:4" x14ac:dyDescent="0.25">
      <c r="A79" s="1"/>
    </row>
    <row r="80" spans="1:4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</sheetData>
  <mergeCells count="18">
    <mergeCell ref="A1:H1"/>
    <mergeCell ref="A2:H2"/>
    <mergeCell ref="A3:H3"/>
    <mergeCell ref="F34:G34"/>
    <mergeCell ref="A5:B5"/>
    <mergeCell ref="F24:G24"/>
    <mergeCell ref="F22:G22"/>
    <mergeCell ref="F7:G7"/>
    <mergeCell ref="A7:B7"/>
    <mergeCell ref="F5:G5"/>
    <mergeCell ref="A19:B19"/>
    <mergeCell ref="A31:B31"/>
    <mergeCell ref="A21:D21"/>
    <mergeCell ref="F64:G64"/>
    <mergeCell ref="A62:B62"/>
    <mergeCell ref="F61:G61"/>
    <mergeCell ref="F60:G60"/>
    <mergeCell ref="F36:G36"/>
  </mergeCells>
  <conditionalFormatting sqref="C69">
    <cfRule type="expression" dxfId="9" priority="15">
      <formula>AND(C69&lt;&gt;"",C69=SUM(F66:J66))</formula>
    </cfRule>
  </conditionalFormatting>
  <conditionalFormatting sqref="C70:C71">
    <cfRule type="expression" dxfId="8" priority="16">
      <formula>AND(C70&lt;&gt;"",C70=SUM(F67:J67))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5730505-5B32-49E4-A231-15167389926E}">
            <x14:iconSet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C69</xm:sqref>
        </x14:conditionalFormatting>
        <x14:conditionalFormatting xmlns:xm="http://schemas.microsoft.com/office/excel/2006/main">
          <x14:cfRule type="iconSet" priority="3" id="{A1D8D8E1-E728-40FC-B638-93B925EA6883}">
            <x14:iconSet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C70</xm:sqref>
        </x14:conditionalFormatting>
        <x14:conditionalFormatting xmlns:xm="http://schemas.microsoft.com/office/excel/2006/main">
          <x14:cfRule type="iconSet" priority="1" id="{B0956897-0CFC-4668-8C2C-CF90F618BBB0}">
            <x14:iconSet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05"/>
  <sheetViews>
    <sheetView topLeftCell="B1" zoomScale="80" zoomScaleNormal="80" workbookViewId="0">
      <pane ySplit="8" topLeftCell="A54" activePane="bottomLeft" state="frozen"/>
      <selection pane="bottomLeft" activeCell="N100" sqref="N100"/>
    </sheetView>
  </sheetViews>
  <sheetFormatPr defaultColWidth="9.140625" defaultRowHeight="15" x14ac:dyDescent="0.25"/>
  <cols>
    <col min="1" max="1" width="43" style="30" hidden="1" customWidth="1"/>
    <col min="2" max="2" width="46.7109375" style="30" bestFit="1" customWidth="1"/>
    <col min="3" max="3" width="65.7109375" style="30" hidden="1" customWidth="1"/>
    <col min="4" max="4" width="14.28515625" style="30" bestFit="1" customWidth="1"/>
    <col min="5" max="5" width="12.42578125" style="30" bestFit="1" customWidth="1"/>
    <col min="6" max="6" width="12.42578125" style="30" customWidth="1"/>
    <col min="7" max="16384" width="9.140625" style="30"/>
  </cols>
  <sheetData>
    <row r="2" spans="1:18" x14ac:dyDescent="0.25">
      <c r="F2" s="30" t="s">
        <v>121</v>
      </c>
      <c r="G2" s="30">
        <f>$D2/10</f>
        <v>0</v>
      </c>
    </row>
    <row r="3" spans="1:18" x14ac:dyDescent="0.25">
      <c r="A3" s="33" t="s">
        <v>122</v>
      </c>
      <c r="F3" s="30" t="s">
        <v>123</v>
      </c>
      <c r="G3" s="30">
        <f>$D3/11</f>
        <v>0</v>
      </c>
    </row>
    <row r="4" spans="1:18" x14ac:dyDescent="0.25">
      <c r="A4" s="33" t="s">
        <v>124</v>
      </c>
    </row>
    <row r="8" spans="1:18" x14ac:dyDescent="0.25">
      <c r="A8" s="30" t="s">
        <v>125</v>
      </c>
      <c r="B8" s="30" t="s">
        <v>126</v>
      </c>
      <c r="C8" s="30" t="s">
        <v>47</v>
      </c>
      <c r="D8" s="30" t="s">
        <v>149</v>
      </c>
      <c r="E8" s="30" t="s">
        <v>93</v>
      </c>
      <c r="F8" s="30" t="s">
        <v>93</v>
      </c>
      <c r="G8" s="61">
        <v>42370</v>
      </c>
      <c r="H8" s="61">
        <f t="shared" ref="H8:R8" si="0">EOMONTH(G8,0)+1</f>
        <v>42401</v>
      </c>
      <c r="I8" s="61">
        <f t="shared" si="0"/>
        <v>42430</v>
      </c>
      <c r="J8" s="61">
        <f t="shared" si="0"/>
        <v>42461</v>
      </c>
      <c r="K8" s="61">
        <f t="shared" si="0"/>
        <v>42491</v>
      </c>
      <c r="L8" s="61">
        <f t="shared" si="0"/>
        <v>42522</v>
      </c>
      <c r="M8" s="61">
        <f t="shared" si="0"/>
        <v>42552</v>
      </c>
      <c r="N8" s="61">
        <f t="shared" si="0"/>
        <v>42583</v>
      </c>
      <c r="O8" s="61">
        <f t="shared" si="0"/>
        <v>42614</v>
      </c>
      <c r="P8" s="61">
        <f t="shared" si="0"/>
        <v>42644</v>
      </c>
      <c r="Q8" s="61">
        <f t="shared" si="0"/>
        <v>42675</v>
      </c>
      <c r="R8" s="61">
        <f t="shared" si="0"/>
        <v>42705</v>
      </c>
    </row>
    <row r="9" spans="1:18" x14ac:dyDescent="0.25">
      <c r="A9" s="30" t="s">
        <v>96</v>
      </c>
      <c r="B9" s="30" t="s">
        <v>96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x14ac:dyDescent="0.25">
      <c r="A10" s="30" t="s">
        <v>0</v>
      </c>
      <c r="B10" s="62" t="str">
        <f>A10</f>
        <v>3300 - Videresalg av varer</v>
      </c>
      <c r="C10" s="62" t="s">
        <v>71</v>
      </c>
      <c r="D10" s="3">
        <f>SUM(G10:R10)</f>
        <v>-6000</v>
      </c>
      <c r="E10" s="3"/>
      <c r="F10" s="3"/>
      <c r="G10" s="62">
        <v>-3000</v>
      </c>
      <c r="H10" s="62">
        <v>0</v>
      </c>
      <c r="I10" s="62"/>
      <c r="J10" s="62"/>
      <c r="K10" s="62"/>
      <c r="L10" s="62">
        <v>0</v>
      </c>
      <c r="M10" s="62"/>
      <c r="N10" s="62">
        <f>$G10</f>
        <v>-3000</v>
      </c>
      <c r="O10" s="62">
        <v>0</v>
      </c>
      <c r="P10" s="62"/>
      <c r="Q10" s="62"/>
      <c r="R10" s="62">
        <v>0</v>
      </c>
    </row>
    <row r="11" spans="1:18" x14ac:dyDescent="0.25">
      <c r="A11" s="30" t="s">
        <v>127</v>
      </c>
      <c r="B11" s="62" t="s">
        <v>106</v>
      </c>
      <c r="C11" s="62" t="s">
        <v>72</v>
      </c>
      <c r="D11" s="3">
        <f>SUM(G11:R11)</f>
        <v>-228000</v>
      </c>
      <c r="E11" s="3"/>
      <c r="F11" s="3"/>
      <c r="G11" s="62"/>
      <c r="J11" s="62"/>
      <c r="K11" s="62"/>
      <c r="L11" s="62"/>
      <c r="M11" s="62"/>
      <c r="N11" s="62"/>
      <c r="O11" s="62">
        <f>-((2200*100)+(35*200))</f>
        <v>-227000</v>
      </c>
      <c r="P11" s="62"/>
      <c r="Q11" s="62"/>
      <c r="R11" s="62">
        <v>-1000</v>
      </c>
    </row>
    <row r="12" spans="1:18" x14ac:dyDescent="0.25">
      <c r="A12" s="30" t="s">
        <v>128</v>
      </c>
      <c r="B12" s="62" t="s">
        <v>105</v>
      </c>
      <c r="C12" s="62" t="s">
        <v>72</v>
      </c>
      <c r="D12" s="3">
        <f>SUM(G12:R12)</f>
        <v>-60000</v>
      </c>
      <c r="E12" s="3"/>
      <c r="F12" s="3"/>
      <c r="G12" s="62"/>
      <c r="J12" s="62"/>
      <c r="K12" s="62"/>
      <c r="L12" s="62"/>
      <c r="M12" s="62"/>
      <c r="N12" s="62"/>
      <c r="O12" s="62">
        <v>-60000</v>
      </c>
      <c r="P12" s="62"/>
      <c r="Q12" s="62"/>
      <c r="R12" s="62"/>
    </row>
    <row r="13" spans="1:18" x14ac:dyDescent="0.25">
      <c r="A13" s="30" t="s">
        <v>129</v>
      </c>
      <c r="B13" s="62" t="s">
        <v>73</v>
      </c>
      <c r="C13" s="62" t="s">
        <v>72</v>
      </c>
      <c r="D13" s="3">
        <f>SUM(G13:R13)</f>
        <v>-120000</v>
      </c>
      <c r="E13" s="3"/>
      <c r="F13" s="3"/>
      <c r="G13" s="62"/>
      <c r="J13" s="62"/>
      <c r="K13" s="62"/>
      <c r="L13" s="62"/>
      <c r="M13" s="62"/>
      <c r="N13" s="62"/>
      <c r="O13" s="62">
        <v>-120000</v>
      </c>
      <c r="P13" s="62"/>
      <c r="Q13" s="62"/>
      <c r="R13" s="62"/>
    </row>
    <row r="14" spans="1:18" ht="30" x14ac:dyDescent="0.25">
      <c r="B14" s="62" t="s">
        <v>77</v>
      </c>
      <c r="C14" s="63" t="s">
        <v>94</v>
      </c>
      <c r="D14" s="3">
        <f t="shared" ref="D14:D20" si="1">SUM(G14:R14)</f>
        <v>0</v>
      </c>
      <c r="E14" s="3"/>
      <c r="F14" s="3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x14ac:dyDescent="0.25">
      <c r="A15" s="30" t="s">
        <v>1</v>
      </c>
      <c r="B15" s="62" t="str">
        <f t="shared" ref="B15:B21" si="2">A15</f>
        <v>3441 - Andre tilskudd</v>
      </c>
      <c r="C15" s="62"/>
      <c r="D15" s="3">
        <f>SUM(H15:R15)</f>
        <v>-260000</v>
      </c>
      <c r="E15" s="3"/>
      <c r="F15" s="3"/>
      <c r="H15" s="62"/>
      <c r="I15" s="62">
        <v>-130000</v>
      </c>
      <c r="J15" s="62"/>
      <c r="K15" s="62"/>
      <c r="L15" s="62">
        <v>-130000</v>
      </c>
      <c r="M15" s="62"/>
      <c r="N15" s="62"/>
      <c r="O15" s="62"/>
      <c r="P15" s="62"/>
      <c r="Q15" s="62"/>
      <c r="R15" s="62"/>
    </row>
    <row r="16" spans="1:18" ht="30" x14ac:dyDescent="0.25">
      <c r="A16" s="30" t="s">
        <v>2</v>
      </c>
      <c r="B16" s="62" t="str">
        <f t="shared" si="2"/>
        <v>3443 - Inntekter fra sponsor</v>
      </c>
      <c r="C16" s="63" t="s">
        <v>88</v>
      </c>
      <c r="D16" s="3">
        <f>SUM(G16:R16)</f>
        <v>-160000</v>
      </c>
      <c r="E16" s="3"/>
      <c r="F16" s="3"/>
      <c r="G16" s="62">
        <v>-5000</v>
      </c>
      <c r="H16" s="62">
        <v>-30000</v>
      </c>
      <c r="I16" s="62">
        <v>-25000</v>
      </c>
      <c r="J16" s="62">
        <v>-10000</v>
      </c>
      <c r="K16" s="62">
        <v>-20000</v>
      </c>
      <c r="L16" s="62"/>
      <c r="M16" s="62"/>
      <c r="N16" s="62">
        <v>-15000</v>
      </c>
      <c r="O16" s="62">
        <v>-25000</v>
      </c>
      <c r="P16" s="62">
        <v>-30000</v>
      </c>
      <c r="Q16" s="62"/>
      <c r="R16" s="62"/>
    </row>
    <row r="17" spans="1:18" x14ac:dyDescent="0.25">
      <c r="A17" s="30" t="s">
        <v>49</v>
      </c>
      <c r="B17" s="62" t="str">
        <f t="shared" si="2"/>
        <v>3444 - Driftstilskudd porsgrunn kommune</v>
      </c>
      <c r="C17" s="62"/>
      <c r="D17" s="3">
        <f t="shared" si="1"/>
        <v>-30000</v>
      </c>
      <c r="E17" s="3"/>
      <c r="F17" s="3"/>
      <c r="G17" s="62"/>
      <c r="H17" s="62"/>
      <c r="I17" s="62"/>
      <c r="J17" s="62"/>
      <c r="K17" s="62"/>
      <c r="L17" s="62"/>
      <c r="M17" s="62"/>
      <c r="N17" s="62"/>
      <c r="O17" s="62">
        <v>-30000</v>
      </c>
      <c r="P17" s="62"/>
      <c r="Q17" s="62"/>
      <c r="R17" s="62"/>
    </row>
    <row r="18" spans="1:18" x14ac:dyDescent="0.25">
      <c r="A18" s="30" t="s">
        <v>3</v>
      </c>
      <c r="B18" s="62" t="str">
        <f t="shared" si="2"/>
        <v>3445 - Grasrotandel</v>
      </c>
      <c r="C18" s="62"/>
      <c r="D18" s="3">
        <f t="shared" si="1"/>
        <v>-40000</v>
      </c>
      <c r="E18" s="3"/>
      <c r="F18" s="3"/>
      <c r="G18" s="62">
        <v>-10000</v>
      </c>
      <c r="H18" s="62"/>
      <c r="I18" s="62"/>
      <c r="J18" s="62"/>
      <c r="K18" s="62">
        <v>-10000</v>
      </c>
      <c r="L18" s="62"/>
      <c r="M18" s="62"/>
      <c r="N18" s="62"/>
      <c r="O18" s="62">
        <v>-10000</v>
      </c>
      <c r="P18" s="62"/>
      <c r="Q18" s="62"/>
      <c r="R18" s="62">
        <v>-10000</v>
      </c>
    </row>
    <row r="19" spans="1:18" x14ac:dyDescent="0.25">
      <c r="A19" s="30" t="s">
        <v>4</v>
      </c>
      <c r="B19" s="62" t="str">
        <f t="shared" si="2"/>
        <v>3446 - Svømmeaksjonen</v>
      </c>
      <c r="C19" s="62"/>
      <c r="D19" s="3">
        <f>SUM(E19:R19)</f>
        <v>0</v>
      </c>
      <c r="E19" s="3"/>
      <c r="F19" s="3"/>
      <c r="G19" s="62"/>
      <c r="H19" s="62"/>
      <c r="I19" s="62"/>
      <c r="J19" s="62"/>
      <c r="K19" s="62">
        <v>0</v>
      </c>
      <c r="L19" s="62"/>
      <c r="M19" s="62"/>
      <c r="N19" s="62">
        <v>0</v>
      </c>
      <c r="O19" s="62"/>
      <c r="P19" s="62"/>
      <c r="Q19" s="62"/>
      <c r="R19" s="62"/>
    </row>
    <row r="20" spans="1:18" x14ac:dyDescent="0.25">
      <c r="A20" s="30" t="s">
        <v>5</v>
      </c>
      <c r="B20" s="62" t="str">
        <f t="shared" si="2"/>
        <v>3447 - Momskompensasjon</v>
      </c>
      <c r="C20" s="62"/>
      <c r="D20" s="3">
        <f t="shared" si="1"/>
        <v>-120000</v>
      </c>
      <c r="E20" s="3"/>
      <c r="F20" s="3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v>-120000</v>
      </c>
    </row>
    <row r="21" spans="1:18" x14ac:dyDescent="0.25">
      <c r="A21" s="30" t="s">
        <v>50</v>
      </c>
      <c r="B21" s="62" t="str">
        <f t="shared" si="2"/>
        <v>Sum salgsinntekt</v>
      </c>
      <c r="C21" s="62"/>
      <c r="E21" s="3">
        <f>SUM(D10:D20)</f>
        <v>-1024000</v>
      </c>
      <c r="F21" s="3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x14ac:dyDescent="0.25">
      <c r="B22" s="62"/>
      <c r="C22" s="62"/>
      <c r="D22" s="3"/>
      <c r="E22" s="3"/>
      <c r="F22" s="3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25">
      <c r="A23" s="30" t="s">
        <v>98</v>
      </c>
      <c r="B23" s="62" t="s">
        <v>98</v>
      </c>
      <c r="C23" s="62"/>
      <c r="D23" s="3"/>
      <c r="E23" s="3"/>
      <c r="F23" s="3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25">
      <c r="A24" s="30" t="s">
        <v>6</v>
      </c>
      <c r="B24" s="62" t="str">
        <f>A24</f>
        <v>3910 - Kursinntekter</v>
      </c>
      <c r="C24" s="62"/>
      <c r="D24" s="3">
        <f>SUM(G24:R24)</f>
        <v>-340000</v>
      </c>
      <c r="E24" s="3"/>
      <c r="F24" s="3"/>
      <c r="G24" s="62">
        <v>-10000</v>
      </c>
      <c r="H24" s="62">
        <v>-90000</v>
      </c>
      <c r="I24" s="62">
        <v>0</v>
      </c>
      <c r="J24" s="62"/>
      <c r="K24" s="62">
        <v>-30000</v>
      </c>
      <c r="L24" s="62">
        <v>-20000</v>
      </c>
      <c r="M24" s="62">
        <v>0</v>
      </c>
      <c r="N24" s="62">
        <v>-10000</v>
      </c>
      <c r="O24" s="62">
        <v>-150000</v>
      </c>
      <c r="P24" s="62">
        <v>-10000</v>
      </c>
      <c r="Q24" s="62">
        <v>0</v>
      </c>
      <c r="R24" s="62">
        <v>-20000</v>
      </c>
    </row>
    <row r="25" spans="1:18" x14ac:dyDescent="0.25">
      <c r="A25" s="30" t="s">
        <v>7</v>
      </c>
      <c r="B25" s="62" t="str">
        <f t="shared" ref="B25:B33" si="3">A25</f>
        <v>3912 - LAM</v>
      </c>
      <c r="C25" s="62"/>
      <c r="D25" s="3">
        <f t="shared" ref="D25" si="4">SUM(G25:R25)</f>
        <v>-50000</v>
      </c>
      <c r="E25" s="3"/>
      <c r="F25" s="3"/>
      <c r="G25" s="62"/>
      <c r="H25" s="62"/>
      <c r="I25" s="62"/>
      <c r="J25" s="62"/>
      <c r="K25" s="62"/>
      <c r="L25" s="62"/>
      <c r="M25" s="62"/>
      <c r="N25" s="62"/>
      <c r="O25" s="62">
        <v>-50000</v>
      </c>
      <c r="P25" s="62"/>
      <c r="Q25" s="62"/>
      <c r="R25" s="62"/>
    </row>
    <row r="26" spans="1:18" x14ac:dyDescent="0.25">
      <c r="A26" s="30" t="s">
        <v>85</v>
      </c>
      <c r="B26" s="62" t="str">
        <f t="shared" si="3"/>
        <v>3913 - Inntekt treningsleir</v>
      </c>
      <c r="C26" s="62" t="s">
        <v>89</v>
      </c>
      <c r="D26" s="3">
        <f>SUM(E26:R26)</f>
        <v>0</v>
      </c>
      <c r="E26" s="3"/>
      <c r="F26" s="3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25">
      <c r="A27" s="30" t="s">
        <v>8</v>
      </c>
      <c r="B27" s="62" t="str">
        <f t="shared" si="3"/>
        <v>3914 - Leieinntekter trener</v>
      </c>
      <c r="C27" s="62"/>
      <c r="D27" s="3">
        <f>SUM(E27:R27)</f>
        <v>0</v>
      </c>
      <c r="E27" s="3"/>
      <c r="F27" s="3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25">
      <c r="A28" s="30" t="s">
        <v>9</v>
      </c>
      <c r="B28" s="62" t="str">
        <f t="shared" si="3"/>
        <v>3920 - Treningsavgift</v>
      </c>
      <c r="C28" s="62"/>
      <c r="D28" s="3">
        <f t="shared" ref="D28:D31" si="5">SUM(G28:R28)</f>
        <v>-220000</v>
      </c>
      <c r="E28" s="3"/>
      <c r="F28" s="3"/>
      <c r="G28" s="62"/>
      <c r="H28" s="62">
        <v>-110000</v>
      </c>
      <c r="I28" s="62"/>
      <c r="J28" s="62"/>
      <c r="K28" s="62"/>
      <c r="L28" s="62"/>
      <c r="M28" s="62"/>
      <c r="N28" s="62"/>
      <c r="O28" s="62">
        <v>-110000</v>
      </c>
      <c r="P28" s="62"/>
      <c r="Q28" s="62"/>
      <c r="R28" s="62"/>
    </row>
    <row r="29" spans="1:18" x14ac:dyDescent="0.25">
      <c r="A29" s="30" t="s">
        <v>10</v>
      </c>
      <c r="B29" s="62" t="str">
        <f t="shared" si="3"/>
        <v>3925 - Medlemskontingenter</v>
      </c>
      <c r="C29" s="62"/>
      <c r="D29" s="3">
        <f t="shared" si="5"/>
        <v>-15000</v>
      </c>
      <c r="E29" s="3"/>
      <c r="F29" s="3"/>
      <c r="G29" s="62"/>
      <c r="H29" s="62">
        <v>-15000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25">
      <c r="A30" s="30" t="s">
        <v>11</v>
      </c>
      <c r="B30" s="62" t="str">
        <f t="shared" si="3"/>
        <v>3970 - Dugnad</v>
      </c>
      <c r="C30" s="62" t="s">
        <v>90</v>
      </c>
      <c r="D30" s="3">
        <f t="shared" si="5"/>
        <v>-155000</v>
      </c>
      <c r="E30" s="3"/>
      <c r="F30" s="3"/>
      <c r="G30" s="62"/>
      <c r="H30" s="62"/>
      <c r="I30" s="62"/>
      <c r="J30" s="62">
        <v>-50000</v>
      </c>
      <c r="K30" s="62"/>
      <c r="L30" s="62">
        <v>-50000</v>
      </c>
      <c r="M30" s="62"/>
      <c r="N30" s="62"/>
      <c r="O30" s="62"/>
      <c r="P30" s="62">
        <v>-25000</v>
      </c>
      <c r="Q30" s="62"/>
      <c r="R30" s="62">
        <v>-30000</v>
      </c>
    </row>
    <row r="31" spans="1:18" x14ac:dyDescent="0.25">
      <c r="A31" s="30" t="s">
        <v>12</v>
      </c>
      <c r="B31" s="62" t="str">
        <f t="shared" si="3"/>
        <v>3975 - Loddsalg</v>
      </c>
      <c r="C31" s="62" t="s">
        <v>91</v>
      </c>
      <c r="D31" s="3">
        <f t="shared" si="5"/>
        <v>-5000</v>
      </c>
      <c r="E31" s="3"/>
      <c r="F31" s="3"/>
      <c r="G31" s="62"/>
      <c r="H31" s="62"/>
      <c r="I31" s="62"/>
      <c r="J31" s="62"/>
      <c r="K31" s="62">
        <v>-55000</v>
      </c>
      <c r="L31" s="62">
        <v>50000</v>
      </c>
      <c r="M31" s="62"/>
      <c r="N31" s="62"/>
      <c r="O31" s="62"/>
      <c r="P31" s="62"/>
      <c r="Q31" s="62"/>
      <c r="R31" s="62"/>
    </row>
    <row r="32" spans="1:18" x14ac:dyDescent="0.25">
      <c r="A32" s="30" t="s">
        <v>52</v>
      </c>
      <c r="B32" s="62" t="str">
        <f t="shared" si="3"/>
        <v>Sum annen driftsinntekt</v>
      </c>
      <c r="C32" s="62"/>
      <c r="E32" s="3">
        <f>SUM(D24:D31)</f>
        <v>-785000</v>
      </c>
      <c r="F32" s="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x14ac:dyDescent="0.25">
      <c r="A33" s="30" t="s">
        <v>53</v>
      </c>
      <c r="B33" s="62" t="str">
        <f t="shared" si="3"/>
        <v>Sum driftsinntekter</v>
      </c>
      <c r="C33" s="62"/>
      <c r="E33" s="3"/>
      <c r="F33" s="3">
        <f>E32+E21</f>
        <v>-1809000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25">
      <c r="B34" s="62"/>
      <c r="C34" s="62"/>
      <c r="D34" s="3"/>
      <c r="E34" s="3"/>
      <c r="F34" s="3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x14ac:dyDescent="0.25">
      <c r="A35" s="30" t="s">
        <v>55</v>
      </c>
      <c r="B35" s="62" t="str">
        <f>A35</f>
        <v>Varekostnad</v>
      </c>
      <c r="C35" s="62"/>
      <c r="D35" s="3"/>
      <c r="E35" s="3"/>
      <c r="F35" s="3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x14ac:dyDescent="0.25">
      <c r="A36" s="30" t="s">
        <v>130</v>
      </c>
      <c r="B36" s="62" t="s">
        <v>13</v>
      </c>
      <c r="C36" s="62" t="s">
        <v>74</v>
      </c>
      <c r="D36" s="3">
        <f>SUM(G36:R36)</f>
        <v>26000</v>
      </c>
      <c r="E36" s="3"/>
      <c r="F36" s="3"/>
      <c r="G36" s="62"/>
      <c r="H36" s="62">
        <v>1000</v>
      </c>
      <c r="I36" s="62">
        <v>5000</v>
      </c>
      <c r="J36" s="62">
        <v>2000</v>
      </c>
      <c r="K36" s="62">
        <v>2000</v>
      </c>
      <c r="L36" s="62"/>
      <c r="M36" s="62">
        <v>5000</v>
      </c>
      <c r="N36" s="62">
        <v>0</v>
      </c>
      <c r="O36" s="62">
        <v>2000</v>
      </c>
      <c r="P36" s="62">
        <v>5000</v>
      </c>
      <c r="Q36" s="62">
        <v>2000</v>
      </c>
      <c r="R36" s="62">
        <v>2000</v>
      </c>
    </row>
    <row r="37" spans="1:18" x14ac:dyDescent="0.25">
      <c r="A37" s="30" t="s">
        <v>131</v>
      </c>
      <c r="B37" s="62"/>
      <c r="C37" s="62" t="s">
        <v>132</v>
      </c>
      <c r="D37" s="3"/>
      <c r="E37" s="3"/>
      <c r="F37" s="3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25">
      <c r="A38" s="30" t="s">
        <v>133</v>
      </c>
      <c r="B38" s="62" t="s">
        <v>78</v>
      </c>
      <c r="C38" s="62" t="s">
        <v>82</v>
      </c>
      <c r="D38" s="3">
        <f>SUM(G38:R38)</f>
        <v>7000</v>
      </c>
      <c r="E38" s="3"/>
      <c r="F38" s="3"/>
      <c r="G38" s="62"/>
      <c r="J38" s="62"/>
      <c r="K38" s="62"/>
      <c r="L38" s="62"/>
      <c r="M38" s="62"/>
      <c r="N38" s="62"/>
      <c r="O38" s="62">
        <v>7000</v>
      </c>
      <c r="P38" s="62"/>
      <c r="Q38" s="62"/>
      <c r="R38" s="62"/>
    </row>
    <row r="39" spans="1:18" x14ac:dyDescent="0.25">
      <c r="A39" s="30" t="s">
        <v>134</v>
      </c>
      <c r="B39" s="62" t="s">
        <v>80</v>
      </c>
      <c r="C39" s="62" t="s">
        <v>81</v>
      </c>
      <c r="D39" s="3">
        <f>SUM(G39:R39)</f>
        <v>40000</v>
      </c>
      <c r="E39" s="3"/>
      <c r="F39" s="3"/>
      <c r="G39" s="62"/>
      <c r="I39" s="62"/>
      <c r="J39" s="62"/>
      <c r="K39" s="62"/>
      <c r="L39" s="62"/>
      <c r="M39" s="62"/>
      <c r="N39" s="62"/>
      <c r="O39" s="62">
        <v>40000</v>
      </c>
      <c r="P39" s="62"/>
      <c r="Q39" s="62"/>
      <c r="R39" s="62"/>
    </row>
    <row r="40" spans="1:18" x14ac:dyDescent="0.25">
      <c r="A40" s="30" t="s">
        <v>135</v>
      </c>
      <c r="B40" s="62" t="s">
        <v>79</v>
      </c>
      <c r="C40" s="62" t="s">
        <v>107</v>
      </c>
      <c r="D40" s="3">
        <f>SUM(G40:R40)</f>
        <v>7000</v>
      </c>
      <c r="E40" s="3"/>
      <c r="F40" s="3"/>
      <c r="G40" s="62"/>
      <c r="J40" s="62"/>
      <c r="K40" s="62"/>
      <c r="L40" s="62"/>
      <c r="M40" s="62"/>
      <c r="N40" s="62"/>
      <c r="O40" s="62">
        <v>7000</v>
      </c>
      <c r="P40" s="62"/>
      <c r="Q40" s="62"/>
      <c r="R40" s="62"/>
    </row>
    <row r="41" spans="1:18" x14ac:dyDescent="0.25">
      <c r="A41" s="30" t="s">
        <v>14</v>
      </c>
      <c r="B41" s="62" t="str">
        <f>A41</f>
        <v>4115 - Premier svømmestevne</v>
      </c>
      <c r="C41" s="62"/>
      <c r="D41" s="3">
        <f>SUM(G41:R41)</f>
        <v>28000</v>
      </c>
      <c r="E41" s="3"/>
      <c r="F41" s="3"/>
      <c r="G41" s="62"/>
      <c r="I41" s="62"/>
      <c r="J41" s="62"/>
      <c r="K41" s="62"/>
      <c r="L41" s="62"/>
      <c r="M41" s="62"/>
      <c r="N41" s="62"/>
      <c r="O41" s="62">
        <v>28000</v>
      </c>
      <c r="P41" s="62"/>
      <c r="Q41" s="62"/>
      <c r="R41" s="62"/>
    </row>
    <row r="42" spans="1:18" ht="30" x14ac:dyDescent="0.25">
      <c r="A42" s="30" t="s">
        <v>136</v>
      </c>
      <c r="B42" s="62" t="s">
        <v>101</v>
      </c>
      <c r="C42" s="63" t="s">
        <v>100</v>
      </c>
      <c r="D42" s="3">
        <f>SUM(G42:R42)</f>
        <v>35000</v>
      </c>
      <c r="E42" s="3"/>
      <c r="F42" s="3"/>
      <c r="G42" s="62"/>
      <c r="J42" s="62"/>
      <c r="K42" s="62"/>
      <c r="L42" s="62"/>
      <c r="M42" s="62"/>
      <c r="N42" s="62"/>
      <c r="O42" s="62">
        <v>35000</v>
      </c>
      <c r="P42" s="62"/>
      <c r="Q42" s="62"/>
      <c r="R42" s="62"/>
    </row>
    <row r="43" spans="1:18" x14ac:dyDescent="0.25">
      <c r="A43" s="30" t="s">
        <v>56</v>
      </c>
      <c r="B43" s="62" t="str">
        <f t="shared" ref="B43:B52" si="6">A43</f>
        <v>4125 - Lisenser nsf</v>
      </c>
      <c r="C43" s="62"/>
      <c r="D43" s="3">
        <f t="shared" ref="D43" si="7">SUM(G43:R43)</f>
        <v>1100</v>
      </c>
      <c r="E43" s="3"/>
      <c r="F43" s="3"/>
      <c r="G43" s="62"/>
      <c r="H43" s="62"/>
      <c r="I43" s="62"/>
      <c r="J43" s="62"/>
      <c r="K43" s="62"/>
      <c r="L43" s="62">
        <v>1100</v>
      </c>
      <c r="M43" s="62"/>
      <c r="N43" s="62"/>
      <c r="O43" s="62"/>
      <c r="P43" s="62"/>
      <c r="Q43" s="62"/>
      <c r="R43" s="62"/>
    </row>
    <row r="44" spans="1:18" x14ac:dyDescent="0.25">
      <c r="A44" s="30" t="s">
        <v>15</v>
      </c>
      <c r="B44" s="62" t="str">
        <f t="shared" si="6"/>
        <v>4200 - Representasjon</v>
      </c>
      <c r="C44" s="62"/>
      <c r="D44" s="3">
        <f>SUM(E44:R44)</f>
        <v>0</v>
      </c>
      <c r="E44" s="3"/>
      <c r="F44" s="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x14ac:dyDescent="0.25">
      <c r="A45" s="30" t="s">
        <v>57</v>
      </c>
      <c r="B45" s="62" t="str">
        <f t="shared" si="6"/>
        <v>4205 - Sponsing av utøvere</v>
      </c>
      <c r="C45" s="62" t="s">
        <v>95</v>
      </c>
      <c r="D45" s="3">
        <f>SUM(G45:R45)</f>
        <v>0</v>
      </c>
      <c r="E45" s="3"/>
      <c r="F45" s="3"/>
      <c r="G45" s="62"/>
      <c r="H45" s="62"/>
      <c r="I45" s="62">
        <v>0</v>
      </c>
      <c r="J45" s="62">
        <v>0</v>
      </c>
      <c r="K45" s="62"/>
      <c r="L45" s="62"/>
      <c r="M45" s="62">
        <v>0</v>
      </c>
      <c r="N45" s="62"/>
      <c r="O45" s="62"/>
      <c r="P45" s="62"/>
      <c r="Q45" s="62">
        <v>0</v>
      </c>
      <c r="R45" s="62"/>
    </row>
    <row r="46" spans="1:18" x14ac:dyDescent="0.25">
      <c r="A46" s="30" t="s">
        <v>16</v>
      </c>
      <c r="B46" s="62" t="str">
        <f t="shared" si="6"/>
        <v>4210 - Utgifter treningsleir</v>
      </c>
      <c r="C46" s="62"/>
      <c r="D46" s="3">
        <f>SUM(G46:R46)</f>
        <v>10000</v>
      </c>
      <c r="E46" s="3"/>
      <c r="F46" s="3"/>
      <c r="G46" s="62"/>
      <c r="H46" s="62"/>
      <c r="I46" s="62"/>
      <c r="J46" s="62"/>
      <c r="K46" s="62"/>
      <c r="L46" s="62"/>
      <c r="M46" s="62"/>
      <c r="N46" s="62">
        <v>5000</v>
      </c>
      <c r="O46" s="62"/>
      <c r="P46" s="62">
        <v>5000</v>
      </c>
      <c r="Q46" s="62"/>
      <c r="R46" s="62"/>
    </row>
    <row r="47" spans="1:18" x14ac:dyDescent="0.25">
      <c r="A47" s="30" t="s">
        <v>17</v>
      </c>
      <c r="B47" s="62" t="str">
        <f t="shared" si="6"/>
        <v>4230 - Utstyr til aktiviteter</v>
      </c>
      <c r="C47" s="62" t="s">
        <v>108</v>
      </c>
      <c r="D47" s="3">
        <f>SUM(G47:R47)</f>
        <v>3000</v>
      </c>
      <c r="E47" s="3"/>
      <c r="F47" s="3"/>
      <c r="G47" s="62"/>
      <c r="H47" s="62">
        <v>1000</v>
      </c>
      <c r="I47" s="62"/>
      <c r="J47" s="62"/>
      <c r="K47" s="62">
        <f>$G$47</f>
        <v>0</v>
      </c>
      <c r="L47" s="62"/>
      <c r="M47" s="62"/>
      <c r="N47" s="62">
        <f>$G$47</f>
        <v>0</v>
      </c>
      <c r="O47" s="62">
        <v>1000</v>
      </c>
      <c r="P47" s="62"/>
      <c r="Q47" s="62">
        <v>1000</v>
      </c>
      <c r="R47" s="62">
        <f>$G$47</f>
        <v>0</v>
      </c>
    </row>
    <row r="48" spans="1:18" x14ac:dyDescent="0.25">
      <c r="A48" s="30" t="s">
        <v>18</v>
      </c>
      <c r="B48" s="62" t="str">
        <f t="shared" si="6"/>
        <v>4300 - Innkjøp av varer for videresalg</v>
      </c>
      <c r="C48" s="62" t="s">
        <v>92</v>
      </c>
      <c r="D48" s="3">
        <f>SUM(G48:R48)</f>
        <v>6000</v>
      </c>
      <c r="E48" s="3"/>
      <c r="F48" s="3"/>
      <c r="G48" s="62"/>
      <c r="H48" s="62">
        <v>3000</v>
      </c>
      <c r="I48" s="62"/>
      <c r="J48" s="62"/>
      <c r="K48" s="62"/>
      <c r="L48" s="62"/>
      <c r="M48" s="62"/>
      <c r="N48" s="62"/>
      <c r="O48" s="62">
        <v>3000</v>
      </c>
      <c r="P48" s="62"/>
      <c r="Q48" s="62"/>
      <c r="R48" s="62"/>
    </row>
    <row r="49" spans="1:18" x14ac:dyDescent="0.25">
      <c r="A49" s="30" t="s">
        <v>86</v>
      </c>
      <c r="B49" s="62" t="str">
        <f t="shared" si="6"/>
        <v>4350 - Tap på utmeldte medlemmer</v>
      </c>
      <c r="C49" s="62"/>
      <c r="D49" s="3">
        <v>0</v>
      </c>
      <c r="E49" s="3"/>
      <c r="F49" s="3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x14ac:dyDescent="0.25">
      <c r="A50" s="30" t="s">
        <v>19</v>
      </c>
      <c r="B50" s="62" t="str">
        <f t="shared" si="6"/>
        <v>4510 - Innleie av arbeidskraft</v>
      </c>
      <c r="C50" s="62" t="s">
        <v>104</v>
      </c>
      <c r="D50" s="3">
        <f>SUM(G50:R50)</f>
        <v>0</v>
      </c>
      <c r="E50" s="3"/>
      <c r="F50" s="3"/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/>
      <c r="N50" s="62">
        <v>0</v>
      </c>
      <c r="O50" s="62">
        <v>0</v>
      </c>
      <c r="P50" s="62">
        <v>0</v>
      </c>
      <c r="Q50" s="62">
        <f>P50</f>
        <v>0</v>
      </c>
      <c r="R50" s="62">
        <f>Q50</f>
        <v>0</v>
      </c>
    </row>
    <row r="51" spans="1:18" x14ac:dyDescent="0.25">
      <c r="A51" s="30" t="s">
        <v>58</v>
      </c>
      <c r="B51" s="62" t="str">
        <f t="shared" si="6"/>
        <v>Sum varekostnad</v>
      </c>
      <c r="C51" s="62"/>
      <c r="D51" s="3"/>
      <c r="E51" s="3">
        <f>SUM(D36:D50)</f>
        <v>163100</v>
      </c>
      <c r="F51" s="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x14ac:dyDescent="0.25">
      <c r="A52" s="30" t="s">
        <v>54</v>
      </c>
      <c r="B52" s="62" t="str">
        <f t="shared" si="6"/>
        <v/>
      </c>
      <c r="C52" s="62"/>
      <c r="D52" s="3"/>
      <c r="F52" s="3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x14ac:dyDescent="0.25">
      <c r="B53" s="62"/>
      <c r="C53" s="62"/>
      <c r="D53" s="3"/>
      <c r="E53" s="3"/>
      <c r="F53" s="3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x14ac:dyDescent="0.25">
      <c r="A54" s="30" t="s">
        <v>99</v>
      </c>
      <c r="B54" s="62" t="s">
        <v>99</v>
      </c>
      <c r="C54" s="62"/>
      <c r="D54" s="3"/>
      <c r="E54" s="3"/>
      <c r="F54" s="3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45" x14ac:dyDescent="0.25">
      <c r="A55" s="30" t="s">
        <v>20</v>
      </c>
      <c r="B55" s="62" t="str">
        <f t="shared" ref="B55:B63" si="8">A55</f>
        <v>5010 - Lønn over grensen for arb.g.avgift</v>
      </c>
      <c r="C55" s="63" t="s">
        <v>110</v>
      </c>
      <c r="D55" s="3">
        <f>SUM(G54:R55)</f>
        <v>1025000</v>
      </c>
      <c r="E55" s="3"/>
      <c r="F55" s="3"/>
      <c r="G55" s="62">
        <v>45000</v>
      </c>
      <c r="H55" s="62">
        <v>95000</v>
      </c>
      <c r="I55" s="62">
        <v>95000</v>
      </c>
      <c r="J55" s="62">
        <v>95000</v>
      </c>
      <c r="K55" s="62">
        <v>95000</v>
      </c>
      <c r="L55" s="62">
        <v>90000</v>
      </c>
      <c r="M55" s="62">
        <v>0</v>
      </c>
      <c r="N55" s="62">
        <v>90000</v>
      </c>
      <c r="O55" s="62">
        <v>105000</v>
      </c>
      <c r="P55" s="62">
        <v>105000</v>
      </c>
      <c r="Q55" s="62">
        <v>105000</v>
      </c>
      <c r="R55" s="62">
        <v>105000</v>
      </c>
    </row>
    <row r="56" spans="1:18" x14ac:dyDescent="0.25">
      <c r="A56" s="30" t="s">
        <v>21</v>
      </c>
      <c r="B56" s="62" t="str">
        <f t="shared" si="8"/>
        <v>5011 - Lønn m/feriepenger</v>
      </c>
      <c r="C56" s="62"/>
      <c r="D56" s="3">
        <f t="shared" ref="D56:D62" si="9">SUM(G56:R56)</f>
        <v>0</v>
      </c>
      <c r="E56" s="3"/>
      <c r="F56" s="3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x14ac:dyDescent="0.25">
      <c r="A57" s="30" t="s">
        <v>22</v>
      </c>
      <c r="B57" s="62" t="str">
        <f t="shared" si="8"/>
        <v>5012 - Fradrag for bilgodtgjørsle</v>
      </c>
      <c r="C57" s="62"/>
      <c r="D57" s="3">
        <f t="shared" si="9"/>
        <v>0</v>
      </c>
      <c r="E57" s="3"/>
      <c r="F57" s="3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x14ac:dyDescent="0.25">
      <c r="A58" s="30" t="s">
        <v>23</v>
      </c>
      <c r="B58" s="62" t="str">
        <f t="shared" si="8"/>
        <v>5014 - Lønn u/feriepenger</v>
      </c>
      <c r="C58" s="62"/>
      <c r="D58" s="3">
        <f t="shared" si="9"/>
        <v>45000</v>
      </c>
      <c r="E58" s="3"/>
      <c r="F58" s="3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>
        <v>45000</v>
      </c>
    </row>
    <row r="59" spans="1:18" x14ac:dyDescent="0.25">
      <c r="A59" s="30" t="s">
        <v>24</v>
      </c>
      <c r="B59" s="62" t="str">
        <f t="shared" si="8"/>
        <v>5090 - Avsatt feriepenger</v>
      </c>
      <c r="C59" s="62"/>
      <c r="D59" s="3">
        <f t="shared" si="9"/>
        <v>104550</v>
      </c>
      <c r="E59" s="3"/>
      <c r="F59" s="3"/>
      <c r="G59" s="62">
        <f>(G54+G55)*10.2%</f>
        <v>4590</v>
      </c>
      <c r="H59" s="62">
        <f t="shared" ref="H59:R59" si="10">(H54+H55)*10.2%</f>
        <v>9690</v>
      </c>
      <c r="I59" s="62">
        <f t="shared" si="10"/>
        <v>9690</v>
      </c>
      <c r="J59" s="62">
        <f t="shared" si="10"/>
        <v>9690</v>
      </c>
      <c r="K59" s="62">
        <f t="shared" si="10"/>
        <v>9690</v>
      </c>
      <c r="L59" s="62">
        <f t="shared" si="10"/>
        <v>9180</v>
      </c>
      <c r="M59" s="62">
        <f t="shared" si="10"/>
        <v>0</v>
      </c>
      <c r="N59" s="62">
        <f t="shared" si="10"/>
        <v>9180</v>
      </c>
      <c r="O59" s="62">
        <f t="shared" si="10"/>
        <v>10710</v>
      </c>
      <c r="P59" s="62">
        <f t="shared" si="10"/>
        <v>10710</v>
      </c>
      <c r="Q59" s="62">
        <f t="shared" si="10"/>
        <v>10710</v>
      </c>
      <c r="R59" s="62">
        <f t="shared" si="10"/>
        <v>10710</v>
      </c>
    </row>
    <row r="60" spans="1:18" x14ac:dyDescent="0.25">
      <c r="B60" s="62" t="s">
        <v>142</v>
      </c>
      <c r="C60" s="62"/>
      <c r="D60" s="3">
        <f t="shared" si="9"/>
        <v>44400</v>
      </c>
      <c r="E60" s="3"/>
      <c r="F60" s="3"/>
      <c r="G60" s="62">
        <v>3700</v>
      </c>
      <c r="H60" s="62">
        <v>3700</v>
      </c>
      <c r="I60" s="62">
        <v>3700</v>
      </c>
      <c r="J60" s="62">
        <v>3700</v>
      </c>
      <c r="K60" s="62">
        <v>3700</v>
      </c>
      <c r="L60" s="62">
        <v>3700</v>
      </c>
      <c r="M60" s="62">
        <v>3700</v>
      </c>
      <c r="N60" s="62">
        <v>3700</v>
      </c>
      <c r="O60" s="62">
        <v>3700</v>
      </c>
      <c r="P60" s="62">
        <v>3700</v>
      </c>
      <c r="Q60" s="62">
        <v>3700</v>
      </c>
      <c r="R60" s="62">
        <v>3700</v>
      </c>
    </row>
    <row r="61" spans="1:18" x14ac:dyDescent="0.25">
      <c r="A61" s="30" t="s">
        <v>25</v>
      </c>
      <c r="B61" s="62" t="str">
        <f t="shared" si="8"/>
        <v>5410 - Arbeidsgiveravgift</v>
      </c>
      <c r="C61" s="62"/>
      <c r="D61" s="3">
        <f>SUM(G61:R61)</f>
        <v>143500.00000000003</v>
      </c>
      <c r="E61" s="3"/>
      <c r="F61" s="3"/>
      <c r="G61" s="62">
        <f>(G54+G55)*14%</f>
        <v>6300.0000000000009</v>
      </c>
      <c r="H61" s="62">
        <f t="shared" ref="H61:R61" si="11">(H54+H55)*14%</f>
        <v>13300.000000000002</v>
      </c>
      <c r="I61" s="62">
        <f t="shared" si="11"/>
        <v>13300.000000000002</v>
      </c>
      <c r="J61" s="62">
        <f t="shared" si="11"/>
        <v>13300.000000000002</v>
      </c>
      <c r="K61" s="62">
        <f t="shared" si="11"/>
        <v>13300.000000000002</v>
      </c>
      <c r="L61" s="62">
        <f t="shared" si="11"/>
        <v>12600.000000000002</v>
      </c>
      <c r="M61" s="62">
        <f t="shared" si="11"/>
        <v>0</v>
      </c>
      <c r="N61" s="62">
        <f t="shared" si="11"/>
        <v>12600.000000000002</v>
      </c>
      <c r="O61" s="62">
        <f t="shared" si="11"/>
        <v>14700.000000000002</v>
      </c>
      <c r="P61" s="62">
        <f t="shared" si="11"/>
        <v>14700.000000000002</v>
      </c>
      <c r="Q61" s="62">
        <f t="shared" si="11"/>
        <v>14700.000000000002</v>
      </c>
      <c r="R61" s="62">
        <f t="shared" si="11"/>
        <v>14700.000000000002</v>
      </c>
    </row>
    <row r="62" spans="1:18" x14ac:dyDescent="0.25">
      <c r="A62" s="30" t="s">
        <v>26</v>
      </c>
      <c r="B62" s="62" t="str">
        <f t="shared" si="8"/>
        <v>5490 - Avsatt arb.g.avg. feriepenger</v>
      </c>
      <c r="C62" s="62"/>
      <c r="D62" s="3">
        <f t="shared" si="9"/>
        <v>14637</v>
      </c>
      <c r="E62" s="3"/>
      <c r="F62" s="3"/>
      <c r="G62" s="62">
        <f>G59*14%</f>
        <v>642.6</v>
      </c>
      <c r="H62" s="62">
        <f t="shared" ref="H62:R62" si="12">H59*14%</f>
        <v>1356.6000000000001</v>
      </c>
      <c r="I62" s="62">
        <f t="shared" si="12"/>
        <v>1356.6000000000001</v>
      </c>
      <c r="J62" s="62">
        <f t="shared" si="12"/>
        <v>1356.6000000000001</v>
      </c>
      <c r="K62" s="62">
        <f t="shared" si="12"/>
        <v>1356.6000000000001</v>
      </c>
      <c r="L62" s="62">
        <f t="shared" si="12"/>
        <v>1285.2</v>
      </c>
      <c r="M62" s="62">
        <f t="shared" si="12"/>
        <v>0</v>
      </c>
      <c r="N62" s="62">
        <f t="shared" si="12"/>
        <v>1285.2</v>
      </c>
      <c r="O62" s="62">
        <f t="shared" si="12"/>
        <v>1499.4</v>
      </c>
      <c r="P62" s="62">
        <f t="shared" si="12"/>
        <v>1499.4</v>
      </c>
      <c r="Q62" s="62">
        <f t="shared" si="12"/>
        <v>1499.4</v>
      </c>
      <c r="R62" s="62">
        <f t="shared" si="12"/>
        <v>1499.4</v>
      </c>
    </row>
    <row r="63" spans="1:18" x14ac:dyDescent="0.25">
      <c r="A63" s="30" t="s">
        <v>59</v>
      </c>
      <c r="B63" s="62" t="str">
        <f t="shared" si="8"/>
        <v>Sum lønnskostnad</v>
      </c>
      <c r="C63" s="62"/>
      <c r="E63" s="3">
        <f>SUM(D55:D62)</f>
        <v>1377087</v>
      </c>
      <c r="F63" s="3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x14ac:dyDescent="0.25">
      <c r="A64" s="30" t="s">
        <v>54</v>
      </c>
      <c r="B64" s="62"/>
      <c r="C64" s="62"/>
      <c r="D64" s="3"/>
      <c r="E64" s="3"/>
      <c r="F64" s="3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x14ac:dyDescent="0.25">
      <c r="A65" s="30" t="s">
        <v>60</v>
      </c>
      <c r="B65" s="62" t="str">
        <f>A65</f>
        <v>Annen driftskostnad</v>
      </c>
      <c r="C65" s="62"/>
      <c r="D65" s="3"/>
      <c r="E65" s="3"/>
      <c r="F65" s="3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x14ac:dyDescent="0.25">
      <c r="A66" s="30" t="s">
        <v>27</v>
      </c>
      <c r="B66" s="62" t="str">
        <f>A66</f>
        <v>6310 - Leie lokaler</v>
      </c>
      <c r="C66" s="62" t="s">
        <v>75</v>
      </c>
      <c r="D66" s="3">
        <f t="shared" ref="D66:D71" si="13">SUM(G66:R66)</f>
        <v>15000</v>
      </c>
      <c r="E66" s="3"/>
      <c r="F66" s="3"/>
      <c r="G66" s="62"/>
      <c r="H66" s="62"/>
      <c r="I66" s="62"/>
      <c r="J66" s="62"/>
      <c r="K66" s="62"/>
      <c r="L66" s="62"/>
      <c r="M66" s="62"/>
      <c r="N66" s="62"/>
      <c r="O66" s="62">
        <v>15000</v>
      </c>
      <c r="P66" s="62"/>
      <c r="Q66" s="62"/>
      <c r="R66" s="62"/>
    </row>
    <row r="67" spans="1:18" x14ac:dyDescent="0.25">
      <c r="A67" s="30" t="s">
        <v>136</v>
      </c>
      <c r="B67" s="62" t="s">
        <v>111</v>
      </c>
      <c r="C67" s="62" t="s">
        <v>76</v>
      </c>
      <c r="D67" s="3">
        <f t="shared" si="13"/>
        <v>1500</v>
      </c>
      <c r="E67" s="3"/>
      <c r="F67" s="3"/>
      <c r="G67" s="62">
        <v>500</v>
      </c>
      <c r="H67" s="62">
        <v>0</v>
      </c>
      <c r="I67" s="62">
        <v>0</v>
      </c>
      <c r="J67" s="62">
        <v>0</v>
      </c>
      <c r="K67" s="62">
        <v>0</v>
      </c>
      <c r="L67" s="62">
        <v>500</v>
      </c>
      <c r="M67" s="62">
        <v>0</v>
      </c>
      <c r="N67" s="62">
        <v>500</v>
      </c>
      <c r="O67" s="62">
        <v>0</v>
      </c>
      <c r="P67" s="62">
        <v>0</v>
      </c>
      <c r="Q67" s="62">
        <v>0</v>
      </c>
      <c r="R67" s="62">
        <v>0</v>
      </c>
    </row>
    <row r="68" spans="1:18" x14ac:dyDescent="0.25">
      <c r="A68" s="30" t="s">
        <v>28</v>
      </c>
      <c r="B68" s="62" t="str">
        <f t="shared" ref="B68:B83" si="14">A68</f>
        <v>6490 - Leie postboks</v>
      </c>
      <c r="C68" s="62"/>
      <c r="D68" s="3">
        <f t="shared" si="13"/>
        <v>1130</v>
      </c>
      <c r="E68" s="3"/>
      <c r="F68" s="3"/>
      <c r="G68" s="62"/>
      <c r="H68" s="62"/>
      <c r="I68" s="62"/>
      <c r="J68" s="62"/>
      <c r="K68" s="62"/>
      <c r="L68" s="62"/>
      <c r="M68" s="62"/>
      <c r="N68" s="62"/>
      <c r="O68" s="62">
        <v>1130</v>
      </c>
      <c r="P68" s="62"/>
      <c r="Q68" s="62"/>
      <c r="R68" s="62"/>
    </row>
    <row r="69" spans="1:18" x14ac:dyDescent="0.25">
      <c r="A69" s="30" t="s">
        <v>29</v>
      </c>
      <c r="B69" s="62" t="str">
        <f t="shared" si="14"/>
        <v>6550 - Utstyr til svømmehall</v>
      </c>
      <c r="C69" s="62" t="s">
        <v>83</v>
      </c>
      <c r="D69" s="3">
        <f t="shared" si="13"/>
        <v>4000</v>
      </c>
      <c r="E69" s="3"/>
      <c r="F69" s="3"/>
      <c r="G69" s="62"/>
      <c r="H69" s="62">
        <v>2000</v>
      </c>
      <c r="I69" s="62"/>
      <c r="J69" s="62"/>
      <c r="K69" s="62"/>
      <c r="L69" s="62"/>
      <c r="M69" s="62"/>
      <c r="N69" s="62">
        <v>2000</v>
      </c>
      <c r="O69" s="62"/>
      <c r="P69" s="62">
        <v>0</v>
      </c>
      <c r="Q69" s="62">
        <v>0</v>
      </c>
      <c r="R69" s="62"/>
    </row>
    <row r="70" spans="1:18" x14ac:dyDescent="0.25">
      <c r="A70" s="30" t="s">
        <v>30</v>
      </c>
      <c r="B70" s="62" t="str">
        <f t="shared" si="14"/>
        <v>6570 - Arbeidsklær og svømmeutstyr</v>
      </c>
      <c r="C70" s="62" t="s">
        <v>112</v>
      </c>
      <c r="D70" s="3">
        <f t="shared" si="13"/>
        <v>6000</v>
      </c>
      <c r="E70" s="3"/>
      <c r="F70" s="3"/>
      <c r="G70" s="62"/>
      <c r="H70" s="62">
        <v>3000</v>
      </c>
      <c r="I70" s="62"/>
      <c r="J70" s="62"/>
      <c r="K70" s="62"/>
      <c r="L70" s="62"/>
      <c r="M70" s="62"/>
      <c r="N70" s="62"/>
      <c r="O70" s="62">
        <v>3000</v>
      </c>
      <c r="P70" s="62"/>
      <c r="Q70" s="62"/>
      <c r="R70" s="62"/>
    </row>
    <row r="71" spans="1:18" x14ac:dyDescent="0.25">
      <c r="A71" s="30" t="s">
        <v>31</v>
      </c>
      <c r="B71" s="62" t="str">
        <f t="shared" si="14"/>
        <v>6705 - Regnskapshonorar</v>
      </c>
      <c r="C71" s="62" t="s">
        <v>84</v>
      </c>
      <c r="D71" s="3">
        <f t="shared" si="13"/>
        <v>53000</v>
      </c>
      <c r="E71" s="3"/>
      <c r="F71" s="3"/>
      <c r="G71" s="62">
        <v>9000</v>
      </c>
      <c r="H71" s="62">
        <v>6000</v>
      </c>
      <c r="I71" s="62">
        <f>$H71</f>
        <v>6000</v>
      </c>
      <c r="J71" s="62">
        <f t="shared" ref="J71:K71" si="15">$H71</f>
        <v>6000</v>
      </c>
      <c r="K71" s="62">
        <f t="shared" si="15"/>
        <v>6000</v>
      </c>
      <c r="L71" s="62"/>
      <c r="M71" s="62"/>
      <c r="N71" s="62">
        <v>4000</v>
      </c>
      <c r="O71" s="62">
        <v>4000</v>
      </c>
      <c r="P71" s="62">
        <v>4000</v>
      </c>
      <c r="Q71" s="62">
        <v>4000</v>
      </c>
      <c r="R71" s="62">
        <v>4000</v>
      </c>
    </row>
    <row r="72" spans="1:18" x14ac:dyDescent="0.25">
      <c r="A72" s="30" t="s">
        <v>32</v>
      </c>
      <c r="B72" s="62" t="str">
        <f t="shared" si="14"/>
        <v>6800 - Kontorrekvisita</v>
      </c>
      <c r="C72" s="62"/>
      <c r="D72" s="3">
        <v>3000</v>
      </c>
      <c r="E72" s="3"/>
      <c r="F72" s="3"/>
      <c r="G72" s="30">
        <f t="shared" ref="G72:K72" si="16">$D72/10</f>
        <v>300</v>
      </c>
      <c r="H72" s="30">
        <f t="shared" si="16"/>
        <v>300</v>
      </c>
      <c r="I72" s="30">
        <f t="shared" si="16"/>
        <v>300</v>
      </c>
      <c r="J72" s="30">
        <f t="shared" si="16"/>
        <v>300</v>
      </c>
      <c r="K72" s="30">
        <f t="shared" si="16"/>
        <v>300</v>
      </c>
      <c r="M72" s="62"/>
      <c r="N72" s="30">
        <f t="shared" ref="N72:R72" si="17">$D72/10</f>
        <v>300</v>
      </c>
      <c r="O72" s="30">
        <f t="shared" si="17"/>
        <v>300</v>
      </c>
      <c r="P72" s="30">
        <f t="shared" si="17"/>
        <v>300</v>
      </c>
      <c r="Q72" s="30">
        <f t="shared" si="17"/>
        <v>300</v>
      </c>
      <c r="R72" s="30">
        <f t="shared" si="17"/>
        <v>300</v>
      </c>
    </row>
    <row r="73" spans="1:18" x14ac:dyDescent="0.25">
      <c r="A73" s="30" t="s">
        <v>61</v>
      </c>
      <c r="B73" s="62" t="str">
        <f t="shared" si="14"/>
        <v>6810 - Data/edb-kostnad</v>
      </c>
      <c r="C73" s="62"/>
      <c r="D73" s="3">
        <f>SUM(G73:R73)</f>
        <v>17600</v>
      </c>
      <c r="E73" s="3"/>
      <c r="F73" s="3"/>
      <c r="G73" s="62">
        <f>4000+800</f>
        <v>4800</v>
      </c>
      <c r="H73" s="62">
        <v>800</v>
      </c>
      <c r="I73" s="62">
        <v>800</v>
      </c>
      <c r="J73" s="62">
        <v>800</v>
      </c>
      <c r="K73" s="62">
        <v>800</v>
      </c>
      <c r="L73" s="62">
        <v>800</v>
      </c>
      <c r="M73" s="62">
        <v>800</v>
      </c>
      <c r="N73" s="62">
        <f>4000+800</f>
        <v>4800</v>
      </c>
      <c r="O73" s="62">
        <v>800</v>
      </c>
      <c r="P73" s="62">
        <v>800</v>
      </c>
      <c r="Q73" s="62">
        <v>800</v>
      </c>
      <c r="R73" s="62">
        <v>800</v>
      </c>
    </row>
    <row r="74" spans="1:18" x14ac:dyDescent="0.25">
      <c r="A74" s="30" t="s">
        <v>62</v>
      </c>
      <c r="B74" s="62" t="str">
        <f t="shared" si="14"/>
        <v>6840 - Aviser / bøker / tidsskrifter</v>
      </c>
      <c r="C74" s="62"/>
      <c r="D74" s="3">
        <v>500</v>
      </c>
      <c r="E74" s="3"/>
      <c r="F74" s="3"/>
      <c r="G74" s="62"/>
      <c r="H74" s="62">
        <v>500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x14ac:dyDescent="0.25">
      <c r="A75" s="30" t="s">
        <v>33</v>
      </c>
      <c r="B75" s="62" t="str">
        <f t="shared" si="14"/>
        <v>6850 - Sosiale kostnader klubben</v>
      </c>
      <c r="C75" s="62"/>
      <c r="D75" s="3">
        <f>SUM(G75:R75)</f>
        <v>8000</v>
      </c>
      <c r="E75" s="3"/>
      <c r="F75" s="3"/>
      <c r="G75" s="62"/>
      <c r="H75" s="62">
        <v>1250</v>
      </c>
      <c r="I75" s="62">
        <v>1250</v>
      </c>
      <c r="J75" s="62"/>
      <c r="K75" s="62"/>
      <c r="L75" s="62"/>
      <c r="M75" s="62"/>
      <c r="N75" s="62"/>
      <c r="O75" s="62">
        <v>2500</v>
      </c>
      <c r="P75" s="62"/>
      <c r="Q75" s="62"/>
      <c r="R75" s="62">
        <v>3000</v>
      </c>
    </row>
    <row r="76" spans="1:18" x14ac:dyDescent="0.25">
      <c r="A76" s="30" t="s">
        <v>34</v>
      </c>
      <c r="B76" s="62" t="str">
        <f t="shared" si="14"/>
        <v>6860 - Møter, kurs, oppdatering</v>
      </c>
      <c r="C76" s="62" t="s">
        <v>109</v>
      </c>
      <c r="D76" s="3">
        <f>SUM(G76:R76)</f>
        <v>12500</v>
      </c>
      <c r="E76" s="3"/>
      <c r="F76" s="3"/>
      <c r="I76" s="30">
        <v>0</v>
      </c>
      <c r="K76" s="30">
        <v>3000</v>
      </c>
      <c r="L76" s="62"/>
      <c r="M76" s="62"/>
      <c r="N76" s="30">
        <v>1000</v>
      </c>
      <c r="O76" s="30">
        <v>8500</v>
      </c>
      <c r="P76" s="30">
        <v>0</v>
      </c>
      <c r="Q76" s="30">
        <v>0</v>
      </c>
      <c r="R76" s="30">
        <v>0</v>
      </c>
    </row>
    <row r="77" spans="1:18" x14ac:dyDescent="0.25">
      <c r="A77" s="30" t="s">
        <v>35</v>
      </c>
      <c r="B77" s="62" t="str">
        <f t="shared" si="14"/>
        <v>6900 - Telefon</v>
      </c>
      <c r="C77" s="62" t="s">
        <v>102</v>
      </c>
      <c r="D77" s="3">
        <f>SUM(G77:R77)</f>
        <v>0</v>
      </c>
      <c r="E77" s="3"/>
      <c r="F77" s="3"/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62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</row>
    <row r="78" spans="1:18" x14ac:dyDescent="0.25">
      <c r="A78" s="30" t="s">
        <v>36</v>
      </c>
      <c r="B78" s="62" t="str">
        <f t="shared" si="14"/>
        <v>6940 - Porto</v>
      </c>
      <c r="C78" s="62"/>
      <c r="D78" s="3">
        <v>200</v>
      </c>
      <c r="E78" s="3"/>
      <c r="F78" s="3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x14ac:dyDescent="0.25">
      <c r="A79" s="30" t="s">
        <v>37</v>
      </c>
      <c r="B79" s="62" t="str">
        <f t="shared" si="14"/>
        <v>7100 - Bilgodtgjørsle</v>
      </c>
      <c r="C79" s="62"/>
      <c r="D79" s="3">
        <f>SUM(G79:R79)</f>
        <v>5500</v>
      </c>
      <c r="E79" s="3"/>
      <c r="F79" s="3"/>
      <c r="G79" s="62">
        <v>500</v>
      </c>
      <c r="H79" s="62">
        <v>500</v>
      </c>
      <c r="I79" s="62">
        <v>500</v>
      </c>
      <c r="J79" s="62">
        <v>500</v>
      </c>
      <c r="K79" s="62">
        <v>500</v>
      </c>
      <c r="L79" s="62">
        <v>500</v>
      </c>
      <c r="M79" s="62"/>
      <c r="N79" s="62">
        <v>500</v>
      </c>
      <c r="O79" s="62">
        <v>500</v>
      </c>
      <c r="P79" s="62">
        <v>500</v>
      </c>
      <c r="Q79" s="62">
        <v>500</v>
      </c>
      <c r="R79" s="62">
        <v>500</v>
      </c>
    </row>
    <row r="80" spans="1:18" x14ac:dyDescent="0.25">
      <c r="A80" s="30" t="s">
        <v>38</v>
      </c>
      <c r="B80" s="62" t="str">
        <f t="shared" si="14"/>
        <v>7140 - Reisekosnad</v>
      </c>
      <c r="C80" s="62"/>
      <c r="D80" s="3">
        <f>SUM(G80:R80)</f>
        <v>36000</v>
      </c>
      <c r="E80" s="3"/>
      <c r="F80" s="3"/>
      <c r="G80" s="62">
        <v>3000</v>
      </c>
      <c r="H80" s="62">
        <v>3000</v>
      </c>
      <c r="I80" s="62">
        <v>3000</v>
      </c>
      <c r="J80" s="62">
        <v>3000</v>
      </c>
      <c r="K80" s="62">
        <v>3000</v>
      </c>
      <c r="L80" s="62">
        <v>3000</v>
      </c>
      <c r="M80" s="62">
        <v>3000</v>
      </c>
      <c r="N80" s="62">
        <v>3000</v>
      </c>
      <c r="O80" s="62">
        <v>3000</v>
      </c>
      <c r="P80" s="62">
        <v>3000</v>
      </c>
      <c r="Q80" s="62">
        <v>3000</v>
      </c>
      <c r="R80" s="62">
        <v>3000</v>
      </c>
    </row>
    <row r="81" spans="1:18" x14ac:dyDescent="0.25">
      <c r="A81" s="30" t="s">
        <v>39</v>
      </c>
      <c r="B81" s="62" t="str">
        <f t="shared" si="14"/>
        <v>7150 - Diettkostnad</v>
      </c>
      <c r="C81" s="62"/>
      <c r="D81" s="3">
        <f>SUM(G81:R81)</f>
        <v>12000</v>
      </c>
      <c r="E81" s="3"/>
      <c r="F81" s="3"/>
      <c r="G81" s="62">
        <v>1000</v>
      </c>
      <c r="H81" s="62">
        <v>1000</v>
      </c>
      <c r="I81" s="62">
        <v>1000</v>
      </c>
      <c r="J81" s="62">
        <v>1000</v>
      </c>
      <c r="K81" s="62">
        <v>1000</v>
      </c>
      <c r="L81" s="62">
        <v>1000</v>
      </c>
      <c r="M81" s="62">
        <v>1000</v>
      </c>
      <c r="N81" s="62">
        <v>1000</v>
      </c>
      <c r="O81" s="62">
        <v>1000</v>
      </c>
      <c r="P81" s="62">
        <v>1000</v>
      </c>
      <c r="Q81" s="62">
        <v>1000</v>
      </c>
      <c r="R81" s="62">
        <v>1000</v>
      </c>
    </row>
    <row r="82" spans="1:18" x14ac:dyDescent="0.25">
      <c r="A82" s="30" t="s">
        <v>40</v>
      </c>
      <c r="B82" s="62" t="str">
        <f t="shared" si="14"/>
        <v>7320 - Annonsekostnader</v>
      </c>
      <c r="C82" s="62"/>
      <c r="D82" s="3">
        <f>SUM(G82:R82)</f>
        <v>12000</v>
      </c>
      <c r="E82" s="3"/>
      <c r="F82" s="3"/>
      <c r="G82" s="62">
        <v>1000</v>
      </c>
      <c r="H82" s="62">
        <v>2000</v>
      </c>
      <c r="I82" s="62">
        <v>1000</v>
      </c>
      <c r="J82" s="62">
        <v>1000</v>
      </c>
      <c r="K82" s="62">
        <v>1000</v>
      </c>
      <c r="L82" s="62"/>
      <c r="M82" s="62"/>
      <c r="N82" s="62">
        <v>2000</v>
      </c>
      <c r="O82" s="62">
        <v>1000</v>
      </c>
      <c r="P82" s="62">
        <v>1000</v>
      </c>
      <c r="Q82" s="62">
        <v>1000</v>
      </c>
      <c r="R82" s="62">
        <v>1000</v>
      </c>
    </row>
    <row r="83" spans="1:18" x14ac:dyDescent="0.25">
      <c r="A83" s="30" t="s">
        <v>87</v>
      </c>
      <c r="B83" s="62" t="str">
        <f t="shared" si="14"/>
        <v>7400 - Kontingenter</v>
      </c>
      <c r="C83" s="62"/>
      <c r="D83" s="3">
        <v>1000</v>
      </c>
      <c r="E83" s="3"/>
      <c r="F83" s="3"/>
      <c r="G83" s="62"/>
      <c r="H83" s="62">
        <v>1000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x14ac:dyDescent="0.25">
      <c r="A84" s="30" t="s">
        <v>41</v>
      </c>
      <c r="B84" s="62" t="str">
        <f>A84</f>
        <v>7420 - Gave</v>
      </c>
      <c r="C84" s="62"/>
      <c r="D84" s="3">
        <f>SUM(G84:R84)</f>
        <v>3000</v>
      </c>
      <c r="E84" s="3"/>
      <c r="F84" s="3"/>
      <c r="G84" s="62">
        <v>200</v>
      </c>
      <c r="H84" s="62">
        <f>$G84</f>
        <v>200</v>
      </c>
      <c r="I84" s="62">
        <f t="shared" ref="I84:Q84" si="18">$G84</f>
        <v>200</v>
      </c>
      <c r="J84" s="62">
        <f t="shared" si="18"/>
        <v>200</v>
      </c>
      <c r="K84" s="62">
        <f t="shared" si="18"/>
        <v>200</v>
      </c>
      <c r="L84" s="62">
        <v>600</v>
      </c>
      <c r="M84" s="62"/>
      <c r="N84" s="62">
        <f t="shared" si="18"/>
        <v>200</v>
      </c>
      <c r="O84" s="62">
        <f t="shared" si="18"/>
        <v>200</v>
      </c>
      <c r="P84" s="62">
        <f t="shared" si="18"/>
        <v>200</v>
      </c>
      <c r="Q84" s="62">
        <f t="shared" si="18"/>
        <v>200</v>
      </c>
      <c r="R84" s="62">
        <v>600</v>
      </c>
    </row>
    <row r="85" spans="1:18" x14ac:dyDescent="0.25">
      <c r="B85" s="64" t="s">
        <v>141</v>
      </c>
      <c r="C85" s="62"/>
      <c r="D85" s="3">
        <f>SUM(G85:R85)</f>
        <v>6000</v>
      </c>
      <c r="E85" s="3"/>
      <c r="F85" s="3"/>
      <c r="G85" s="62">
        <v>500</v>
      </c>
      <c r="H85" s="62">
        <v>500</v>
      </c>
      <c r="I85" s="62">
        <v>500</v>
      </c>
      <c r="J85" s="62">
        <v>500</v>
      </c>
      <c r="K85" s="62">
        <v>500</v>
      </c>
      <c r="L85" s="62">
        <v>500</v>
      </c>
      <c r="M85" s="62">
        <v>500</v>
      </c>
      <c r="N85" s="62">
        <v>500</v>
      </c>
      <c r="O85" s="62">
        <v>500</v>
      </c>
      <c r="P85" s="62">
        <v>500</v>
      </c>
      <c r="Q85" s="62">
        <v>500</v>
      </c>
      <c r="R85" s="62">
        <v>500</v>
      </c>
    </row>
    <row r="86" spans="1:18" x14ac:dyDescent="0.25">
      <c r="B86" s="64" t="s">
        <v>140</v>
      </c>
      <c r="C86" s="62"/>
      <c r="D86" s="3">
        <f>SUM(G86:R86)</f>
        <v>12000</v>
      </c>
      <c r="E86" s="3"/>
      <c r="F86" s="3"/>
      <c r="G86" s="62">
        <v>1000</v>
      </c>
      <c r="H86" s="62">
        <v>1000</v>
      </c>
      <c r="I86" s="62">
        <v>1000</v>
      </c>
      <c r="J86" s="62">
        <v>1000</v>
      </c>
      <c r="K86" s="62">
        <v>1000</v>
      </c>
      <c r="L86" s="62">
        <v>1000</v>
      </c>
      <c r="M86" s="62">
        <v>1000</v>
      </c>
      <c r="N86" s="62">
        <v>1000</v>
      </c>
      <c r="O86" s="62">
        <v>1000</v>
      </c>
      <c r="P86" s="62">
        <v>1000</v>
      </c>
      <c r="Q86" s="62">
        <v>1000</v>
      </c>
      <c r="R86" s="62">
        <v>1000</v>
      </c>
    </row>
    <row r="87" spans="1:18" x14ac:dyDescent="0.25">
      <c r="A87" s="30" t="s">
        <v>42</v>
      </c>
      <c r="B87" s="62" t="str">
        <f t="shared" ref="B87:B102" si="19">A87</f>
        <v>7770 - Bank- og kort gebyr</v>
      </c>
      <c r="C87" s="62"/>
      <c r="D87" s="3">
        <v>3000</v>
      </c>
      <c r="E87" s="3"/>
      <c r="F87" s="3"/>
      <c r="G87" s="62">
        <v>500</v>
      </c>
      <c r="H87" s="62">
        <f t="shared" ref="H87:R88" si="20">$G87</f>
        <v>500</v>
      </c>
      <c r="I87" s="62">
        <f t="shared" si="20"/>
        <v>500</v>
      </c>
      <c r="J87" s="62">
        <f t="shared" si="20"/>
        <v>500</v>
      </c>
      <c r="K87" s="62">
        <f t="shared" si="20"/>
        <v>500</v>
      </c>
      <c r="L87" s="62"/>
      <c r="M87" s="62"/>
      <c r="N87" s="62">
        <f t="shared" si="20"/>
        <v>500</v>
      </c>
      <c r="O87" s="62">
        <f t="shared" si="20"/>
        <v>500</v>
      </c>
      <c r="P87" s="62">
        <f t="shared" si="20"/>
        <v>500</v>
      </c>
      <c r="Q87" s="62">
        <f t="shared" si="20"/>
        <v>500</v>
      </c>
      <c r="R87" s="62">
        <f t="shared" si="20"/>
        <v>500</v>
      </c>
    </row>
    <row r="88" spans="1:18" x14ac:dyDescent="0.25">
      <c r="A88" s="30" t="s">
        <v>43</v>
      </c>
      <c r="B88" s="62" t="str">
        <f t="shared" si="19"/>
        <v>7790 - Andre kostnader</v>
      </c>
      <c r="C88" s="62"/>
      <c r="D88" s="3">
        <v>2000</v>
      </c>
      <c r="E88" s="3"/>
      <c r="F88" s="3"/>
      <c r="G88" s="62">
        <v>200</v>
      </c>
      <c r="H88" s="62">
        <f t="shared" si="20"/>
        <v>200</v>
      </c>
      <c r="I88" s="62">
        <f t="shared" si="20"/>
        <v>200</v>
      </c>
      <c r="J88" s="62">
        <f t="shared" si="20"/>
        <v>200</v>
      </c>
      <c r="K88" s="62">
        <f t="shared" si="20"/>
        <v>200</v>
      </c>
      <c r="L88" s="62"/>
      <c r="M88" s="62"/>
      <c r="N88" s="62">
        <f t="shared" si="20"/>
        <v>200</v>
      </c>
      <c r="O88" s="62">
        <f t="shared" si="20"/>
        <v>200</v>
      </c>
      <c r="P88" s="62">
        <f t="shared" si="20"/>
        <v>200</v>
      </c>
      <c r="Q88" s="62">
        <f t="shared" si="20"/>
        <v>200</v>
      </c>
      <c r="R88" s="62">
        <f t="shared" si="20"/>
        <v>200</v>
      </c>
    </row>
    <row r="89" spans="1:18" x14ac:dyDescent="0.25">
      <c r="A89" s="30" t="s">
        <v>63</v>
      </c>
      <c r="B89" s="62" t="str">
        <f t="shared" si="19"/>
        <v>Sum annen driftskostnad</v>
      </c>
      <c r="C89" s="62"/>
      <c r="E89" s="3">
        <f>SUM(D66:D88)</f>
        <v>214930</v>
      </c>
      <c r="F89" s="3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x14ac:dyDescent="0.25">
      <c r="A90" s="30" t="s">
        <v>64</v>
      </c>
      <c r="B90" s="62" t="str">
        <f t="shared" si="19"/>
        <v>Sum driftskostnader</v>
      </c>
      <c r="C90" s="62"/>
      <c r="E90" s="3"/>
      <c r="F90" s="3">
        <f>E89+E63+E51</f>
        <v>1755117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x14ac:dyDescent="0.25">
      <c r="B91" s="62">
        <f t="shared" si="19"/>
        <v>0</v>
      </c>
      <c r="C91" s="62"/>
      <c r="D91" s="3"/>
      <c r="E91" s="3"/>
      <c r="F91" s="3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x14ac:dyDescent="0.25">
      <c r="A92" s="30" t="s">
        <v>65</v>
      </c>
      <c r="B92" s="62" t="str">
        <f t="shared" si="19"/>
        <v>Sum driftsresultat</v>
      </c>
      <c r="C92" s="62"/>
      <c r="E92" s="3"/>
      <c r="F92" s="3">
        <f>F90+F33</f>
        <v>-53883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x14ac:dyDescent="0.25">
      <c r="A93" s="30" t="s">
        <v>54</v>
      </c>
      <c r="B93" s="62" t="str">
        <f t="shared" si="19"/>
        <v/>
      </c>
      <c r="D93" s="3"/>
      <c r="E93" s="3"/>
      <c r="F93" s="3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x14ac:dyDescent="0.25">
      <c r="A94" s="30" t="s">
        <v>66</v>
      </c>
      <c r="B94" s="62" t="str">
        <f t="shared" si="19"/>
        <v>Annen renteinntekt</v>
      </c>
      <c r="D94" s="3"/>
      <c r="E94" s="3"/>
      <c r="F94" s="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x14ac:dyDescent="0.25">
      <c r="A95" s="30" t="s">
        <v>44</v>
      </c>
      <c r="B95" s="62" t="str">
        <f t="shared" si="19"/>
        <v>8050 - Annen renteinntekt</v>
      </c>
      <c r="C95" s="62"/>
      <c r="D95" s="3">
        <f>SUM(G95:R95)</f>
        <v>0</v>
      </c>
      <c r="E95" s="3"/>
      <c r="F95" s="3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>
        <v>0</v>
      </c>
    </row>
    <row r="96" spans="1:18" x14ac:dyDescent="0.25">
      <c r="A96" s="30" t="s">
        <v>67</v>
      </c>
      <c r="B96" s="62" t="str">
        <f t="shared" si="19"/>
        <v>Sum annen renteinntekt</v>
      </c>
      <c r="C96" s="62"/>
      <c r="E96" s="3">
        <f>D95</f>
        <v>0</v>
      </c>
      <c r="F96" s="3">
        <f>E96</f>
        <v>0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x14ac:dyDescent="0.25">
      <c r="B97" s="62">
        <f t="shared" si="19"/>
        <v>0</v>
      </c>
      <c r="D97" s="3"/>
      <c r="E97" s="3"/>
      <c r="F97" s="3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x14ac:dyDescent="0.25">
      <c r="A98" s="30" t="s">
        <v>69</v>
      </c>
      <c r="B98" s="62" t="str">
        <f t="shared" si="19"/>
        <v>Annen rentekostnad</v>
      </c>
      <c r="D98" s="3"/>
      <c r="E98" s="3"/>
      <c r="F98" s="3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x14ac:dyDescent="0.25">
      <c r="A99" s="30" t="s">
        <v>45</v>
      </c>
      <c r="B99" s="62" t="str">
        <f t="shared" si="19"/>
        <v>8150 - Annen rentekostnad</v>
      </c>
      <c r="C99" s="62"/>
      <c r="D99" s="3">
        <f>SUM(G99:R99)</f>
        <v>0</v>
      </c>
      <c r="E99" s="3"/>
      <c r="F99" s="3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>
        <v>0</v>
      </c>
    </row>
    <row r="100" spans="1:18" x14ac:dyDescent="0.25">
      <c r="A100" s="30" t="s">
        <v>70</v>
      </c>
      <c r="B100" s="62" t="str">
        <f t="shared" si="19"/>
        <v>Sum annen rentekostnad</v>
      </c>
      <c r="C100" s="62"/>
      <c r="E100" s="3">
        <f>D99</f>
        <v>0</v>
      </c>
      <c r="F100" s="3">
        <f>E100</f>
        <v>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x14ac:dyDescent="0.25">
      <c r="B101" s="62">
        <f t="shared" si="19"/>
        <v>0</v>
      </c>
      <c r="D101" s="3"/>
      <c r="E101" s="3"/>
      <c r="F101" s="3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x14ac:dyDescent="0.25">
      <c r="A102" s="30" t="s">
        <v>68</v>
      </c>
      <c r="B102" s="62" t="str">
        <f t="shared" si="19"/>
        <v>Driftsresultat</v>
      </c>
      <c r="C102" s="62"/>
      <c r="E102" s="3"/>
      <c r="F102" s="3">
        <f>SUM(F92:F100)</f>
        <v>-53883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x14ac:dyDescent="0.25">
      <c r="B103" s="62"/>
      <c r="D103" s="3"/>
      <c r="E103" s="3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x14ac:dyDescent="0.25">
      <c r="D104" s="3"/>
      <c r="E104" s="3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x14ac:dyDescent="0.25">
      <c r="E105" s="3"/>
      <c r="F105" s="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</sheetData>
  <conditionalFormatting sqref="D1:D14 D16:D1048572">
    <cfRule type="expression" dxfId="7" priority="2">
      <formula>AND(D1&lt;&gt;"",D1=SUM(G1:R1))</formula>
    </cfRule>
  </conditionalFormatting>
  <conditionalFormatting sqref="B9:B102">
    <cfRule type="expression" dxfId="6" priority="1">
      <formula>A9&lt;&gt;B9</formula>
    </cfRule>
  </conditionalFormatting>
  <conditionalFormatting sqref="D15">
    <cfRule type="expression" dxfId="5" priority="3">
      <formula>AND(D15&lt;&gt;"",D15=SUM(H15:R15))</formula>
    </cfRule>
  </conditionalFormatting>
  <conditionalFormatting sqref="D1048573:D1048576">
    <cfRule type="expression" dxfId="4" priority="4">
      <formula>AND(D1048573&lt;&gt;"",D1048573=SUM(G1048573:R1048574))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3F17-72BC-4514-B6D3-EE255CD477B0}">
  <dimension ref="A2:R105"/>
  <sheetViews>
    <sheetView zoomScale="80" zoomScaleNormal="80" workbookViewId="0">
      <pane ySplit="8" topLeftCell="A9" activePane="bottomLeft" state="frozen"/>
      <selection pane="bottomLeft" activeCell="Y28" sqref="Y28"/>
    </sheetView>
  </sheetViews>
  <sheetFormatPr defaultColWidth="9.140625" defaultRowHeight="15" x14ac:dyDescent="0.25"/>
  <cols>
    <col min="1" max="1" width="43" style="30" hidden="1" customWidth="1"/>
    <col min="2" max="2" width="46.7109375" style="30" bestFit="1" customWidth="1"/>
    <col min="3" max="3" width="65.7109375" style="2" hidden="1" customWidth="1"/>
    <col min="4" max="4" width="14.28515625" style="30" bestFit="1" customWidth="1"/>
    <col min="5" max="5" width="12.42578125" style="30" bestFit="1" customWidth="1"/>
    <col min="6" max="6" width="12.42578125" style="30" customWidth="1"/>
    <col min="7" max="8" width="9.140625" style="2"/>
    <col min="9" max="9" width="10" style="2" bestFit="1" customWidth="1"/>
    <col min="10" max="18" width="9.140625" style="2"/>
    <col min="19" max="16384" width="9.140625" style="30"/>
  </cols>
  <sheetData>
    <row r="2" spans="1:18" x14ac:dyDescent="0.25">
      <c r="F2" s="30" t="s">
        <v>121</v>
      </c>
      <c r="G2" s="2">
        <f>$D2/10</f>
        <v>0</v>
      </c>
    </row>
    <row r="3" spans="1:18" x14ac:dyDescent="0.25">
      <c r="A3" s="33" t="s">
        <v>122</v>
      </c>
      <c r="F3" s="30" t="s">
        <v>123</v>
      </c>
      <c r="G3" s="2">
        <f>$D3/11</f>
        <v>0</v>
      </c>
    </row>
    <row r="4" spans="1:18" x14ac:dyDescent="0.25">
      <c r="A4" s="33" t="s">
        <v>124</v>
      </c>
    </row>
    <row r="8" spans="1:18" x14ac:dyDescent="0.25">
      <c r="A8" s="30" t="s">
        <v>125</v>
      </c>
      <c r="B8" s="30" t="s">
        <v>126</v>
      </c>
      <c r="C8" s="2" t="s">
        <v>47</v>
      </c>
      <c r="D8" s="30" t="s">
        <v>144</v>
      </c>
      <c r="E8" s="30" t="s">
        <v>93</v>
      </c>
      <c r="F8" s="30" t="s">
        <v>93</v>
      </c>
      <c r="G8" s="6">
        <v>42370</v>
      </c>
      <c r="H8" s="6">
        <f t="shared" ref="H8:R8" si="0">EOMONTH(G8,0)+1</f>
        <v>42401</v>
      </c>
      <c r="I8" s="6">
        <f t="shared" si="0"/>
        <v>42430</v>
      </c>
      <c r="J8" s="6">
        <f t="shared" si="0"/>
        <v>42461</v>
      </c>
      <c r="K8" s="6">
        <f t="shared" si="0"/>
        <v>42491</v>
      </c>
      <c r="L8" s="6">
        <f t="shared" si="0"/>
        <v>42522</v>
      </c>
      <c r="M8" s="6">
        <f t="shared" si="0"/>
        <v>42552</v>
      </c>
      <c r="N8" s="6">
        <f t="shared" si="0"/>
        <v>42583</v>
      </c>
      <c r="O8" s="6">
        <f t="shared" si="0"/>
        <v>42614</v>
      </c>
      <c r="P8" s="6">
        <f t="shared" si="0"/>
        <v>42644</v>
      </c>
      <c r="Q8" s="6">
        <f t="shared" si="0"/>
        <v>42675</v>
      </c>
      <c r="R8" s="6">
        <f t="shared" si="0"/>
        <v>42705</v>
      </c>
    </row>
    <row r="9" spans="1:18" x14ac:dyDescent="0.25">
      <c r="A9" s="30" t="s">
        <v>96</v>
      </c>
      <c r="B9" s="30" t="s">
        <v>96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30" t="s">
        <v>0</v>
      </c>
      <c r="B10" s="4" t="str">
        <f>A10</f>
        <v>3300 - Videresalg av varer</v>
      </c>
      <c r="C10" s="4" t="s">
        <v>71</v>
      </c>
      <c r="D10" s="3">
        <f>SUM(G10:R10)</f>
        <v>-6000</v>
      </c>
      <c r="E10" s="3"/>
      <c r="F10" s="3"/>
      <c r="G10" s="4">
        <v>-3000</v>
      </c>
      <c r="H10" s="4">
        <v>0</v>
      </c>
      <c r="I10" s="4"/>
      <c r="J10" s="4"/>
      <c r="K10" s="4"/>
      <c r="L10" s="4">
        <v>0</v>
      </c>
      <c r="M10" s="4"/>
      <c r="N10" s="4">
        <f>$G10</f>
        <v>-3000</v>
      </c>
      <c r="O10" s="4">
        <v>0</v>
      </c>
      <c r="P10" s="4"/>
      <c r="Q10" s="4"/>
      <c r="R10" s="4">
        <v>0</v>
      </c>
    </row>
    <row r="11" spans="1:18" x14ac:dyDescent="0.25">
      <c r="A11" s="30" t="s">
        <v>127</v>
      </c>
      <c r="B11" s="4" t="s">
        <v>106</v>
      </c>
      <c r="C11" s="4" t="s">
        <v>72</v>
      </c>
      <c r="D11" s="3">
        <f>SUM(G11:R11)</f>
        <v>-468000</v>
      </c>
      <c r="E11" s="3"/>
      <c r="F11" s="3"/>
      <c r="G11" s="4"/>
      <c r="I11" s="4">
        <f>-(2400*100)</f>
        <v>-240000</v>
      </c>
      <c r="J11" s="4"/>
      <c r="K11" s="4"/>
      <c r="L11" s="4"/>
      <c r="M11" s="4"/>
      <c r="N11" s="4"/>
      <c r="O11" s="4">
        <f>-((2200*100)+(35*200))</f>
        <v>-227000</v>
      </c>
      <c r="P11" s="4"/>
      <c r="Q11" s="4"/>
      <c r="R11" s="4">
        <v>-1000</v>
      </c>
    </row>
    <row r="12" spans="1:18" x14ac:dyDescent="0.25">
      <c r="A12" s="30" t="s">
        <v>128</v>
      </c>
      <c r="B12" s="4" t="s">
        <v>105</v>
      </c>
      <c r="C12" s="4" t="s">
        <v>72</v>
      </c>
      <c r="D12" s="3">
        <f>SUM(G12:R12)</f>
        <v>-160000</v>
      </c>
      <c r="E12" s="3"/>
      <c r="F12" s="3"/>
      <c r="G12" s="4"/>
      <c r="I12" s="58">
        <v>-90000</v>
      </c>
      <c r="J12" s="4"/>
      <c r="K12" s="4"/>
      <c r="L12" s="4"/>
      <c r="M12" s="4"/>
      <c r="N12" s="4"/>
      <c r="O12" s="4">
        <v>-70000</v>
      </c>
      <c r="P12" s="4"/>
      <c r="Q12" s="4"/>
      <c r="R12" s="4"/>
    </row>
    <row r="13" spans="1:18" x14ac:dyDescent="0.25">
      <c r="A13" s="30" t="s">
        <v>129</v>
      </c>
      <c r="B13" s="4" t="s">
        <v>73</v>
      </c>
      <c r="C13" s="4" t="s">
        <v>72</v>
      </c>
      <c r="D13" s="3">
        <f>SUM(G13:R13)</f>
        <v>-260000</v>
      </c>
      <c r="E13" s="3"/>
      <c r="F13" s="3"/>
      <c r="G13" s="4"/>
      <c r="I13" s="59">
        <v>-140000</v>
      </c>
      <c r="J13" s="4"/>
      <c r="K13" s="4"/>
      <c r="L13" s="4"/>
      <c r="M13" s="4"/>
      <c r="N13" s="4"/>
      <c r="O13" s="4">
        <v>-120000</v>
      </c>
      <c r="P13" s="4"/>
      <c r="Q13" s="4"/>
      <c r="R13" s="4"/>
    </row>
    <row r="14" spans="1:18" ht="30" x14ac:dyDescent="0.25">
      <c r="B14" s="4" t="s">
        <v>77</v>
      </c>
      <c r="C14" s="5" t="s">
        <v>94</v>
      </c>
      <c r="D14" s="3">
        <f t="shared" ref="D14:D20" si="1">SUM(G14:R14)</f>
        <v>0</v>
      </c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30" t="s">
        <v>1</v>
      </c>
      <c r="B15" s="4" t="str">
        <f t="shared" ref="B15:B21" si="2">A15</f>
        <v>3441 - Andre tilskudd</v>
      </c>
      <c r="C15" s="4"/>
      <c r="D15" s="3">
        <f>SUM(H15:R15)</f>
        <v>-30000</v>
      </c>
      <c r="E15" s="3"/>
      <c r="F15" s="3"/>
      <c r="H15" s="4"/>
      <c r="I15" s="4"/>
      <c r="J15" s="4"/>
      <c r="K15" s="4"/>
      <c r="L15" s="4">
        <v>-30000</v>
      </c>
      <c r="M15" s="4"/>
      <c r="N15" s="4"/>
      <c r="O15" s="4"/>
      <c r="P15" s="4"/>
      <c r="Q15" s="4"/>
      <c r="R15" s="4"/>
    </row>
    <row r="16" spans="1:18" ht="30" x14ac:dyDescent="0.25">
      <c r="A16" s="30" t="s">
        <v>2</v>
      </c>
      <c r="B16" s="4" t="str">
        <f t="shared" si="2"/>
        <v>3443 - Inntekter fra sponsor</v>
      </c>
      <c r="C16" s="5" t="s">
        <v>88</v>
      </c>
      <c r="D16" s="3">
        <f>SUM(G16:R16)</f>
        <v>-180000</v>
      </c>
      <c r="E16" s="3"/>
      <c r="F16" s="3"/>
      <c r="G16" s="4">
        <v>-5000</v>
      </c>
      <c r="H16" s="4">
        <v>-30000</v>
      </c>
      <c r="I16" s="4">
        <v>-35000</v>
      </c>
      <c r="J16" s="4">
        <v>-10000</v>
      </c>
      <c r="K16" s="4">
        <v>-20000</v>
      </c>
      <c r="L16" s="4"/>
      <c r="M16" s="4"/>
      <c r="N16" s="4">
        <v>-15000</v>
      </c>
      <c r="O16" s="4">
        <v>-35000</v>
      </c>
      <c r="P16" s="4">
        <v>-30000</v>
      </c>
      <c r="Q16" s="4"/>
      <c r="R16" s="4"/>
    </row>
    <row r="17" spans="1:18" x14ac:dyDescent="0.25">
      <c r="A17" s="30" t="s">
        <v>49</v>
      </c>
      <c r="B17" s="4" t="str">
        <f t="shared" si="2"/>
        <v>3444 - Driftstilskudd porsgrunn kommune</v>
      </c>
      <c r="C17" s="4"/>
      <c r="D17" s="3">
        <f t="shared" si="1"/>
        <v>-10000</v>
      </c>
      <c r="E17" s="3"/>
      <c r="F17" s="3"/>
      <c r="G17" s="4"/>
      <c r="H17" s="4"/>
      <c r="I17" s="4"/>
      <c r="J17" s="4"/>
      <c r="K17" s="4"/>
      <c r="L17" s="4"/>
      <c r="M17" s="4"/>
      <c r="N17" s="4"/>
      <c r="O17" s="4">
        <v>-10000</v>
      </c>
      <c r="P17" s="4"/>
      <c r="Q17" s="4"/>
      <c r="R17" s="4"/>
    </row>
    <row r="18" spans="1:18" x14ac:dyDescent="0.25">
      <c r="A18" s="30" t="s">
        <v>3</v>
      </c>
      <c r="B18" s="4" t="str">
        <f t="shared" si="2"/>
        <v>3445 - Grasrotandel</v>
      </c>
      <c r="C18" s="4"/>
      <c r="D18" s="3">
        <f t="shared" si="1"/>
        <v>-40000</v>
      </c>
      <c r="E18" s="3"/>
      <c r="F18" s="3"/>
      <c r="G18" s="4">
        <v>-10000</v>
      </c>
      <c r="H18" s="4"/>
      <c r="I18" s="4"/>
      <c r="J18" s="4"/>
      <c r="K18" s="4">
        <v>-10000</v>
      </c>
      <c r="L18" s="4"/>
      <c r="M18" s="4"/>
      <c r="N18" s="4"/>
      <c r="O18" s="4">
        <v>-10000</v>
      </c>
      <c r="P18" s="4"/>
      <c r="Q18" s="4"/>
      <c r="R18" s="4">
        <v>-10000</v>
      </c>
    </row>
    <row r="19" spans="1:18" x14ac:dyDescent="0.25">
      <c r="A19" s="30" t="s">
        <v>4</v>
      </c>
      <c r="B19" s="4" t="str">
        <f t="shared" si="2"/>
        <v>3446 - Svømmeaksjonen</v>
      </c>
      <c r="C19" s="4"/>
      <c r="D19" s="3">
        <f>SUM(E19:R19)</f>
        <v>0</v>
      </c>
      <c r="E19" s="3"/>
      <c r="F19" s="3"/>
      <c r="G19" s="4"/>
      <c r="H19" s="4"/>
      <c r="I19" s="4"/>
      <c r="J19" s="4"/>
      <c r="K19" s="4">
        <v>0</v>
      </c>
      <c r="L19" s="4"/>
      <c r="M19" s="4"/>
      <c r="N19" s="4">
        <v>0</v>
      </c>
      <c r="O19" s="4"/>
      <c r="P19" s="4"/>
      <c r="Q19" s="4"/>
      <c r="R19" s="4"/>
    </row>
    <row r="20" spans="1:18" x14ac:dyDescent="0.25">
      <c r="A20" s="30" t="s">
        <v>5</v>
      </c>
      <c r="B20" s="4" t="str">
        <f t="shared" si="2"/>
        <v>3447 - Momskompensasjon</v>
      </c>
      <c r="C20" s="4"/>
      <c r="D20" s="3">
        <f t="shared" si="1"/>
        <v>-120000</v>
      </c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-120000</v>
      </c>
    </row>
    <row r="21" spans="1:18" x14ac:dyDescent="0.25">
      <c r="A21" s="30" t="s">
        <v>50</v>
      </c>
      <c r="B21" s="4" t="str">
        <f t="shared" si="2"/>
        <v>Sum salgsinntekt</v>
      </c>
      <c r="C21" s="4"/>
      <c r="E21" s="3">
        <f>SUM(D10:D20)</f>
        <v>-1274000</v>
      </c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B22" s="4"/>
      <c r="C22" s="4"/>
      <c r="D22" s="3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30" t="s">
        <v>98</v>
      </c>
      <c r="B23" s="4" t="s">
        <v>98</v>
      </c>
      <c r="C23" s="4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30" t="s">
        <v>6</v>
      </c>
      <c r="B24" s="4" t="str">
        <f>A24</f>
        <v>3910 - Kursinntekter</v>
      </c>
      <c r="C24" s="4"/>
      <c r="D24" s="3">
        <f>SUM(G24:R24)</f>
        <v>-410000</v>
      </c>
      <c r="E24" s="3"/>
      <c r="F24" s="3"/>
      <c r="G24" s="4">
        <v>-10000</v>
      </c>
      <c r="H24" s="4">
        <v>-150000</v>
      </c>
      <c r="I24" s="4">
        <v>0</v>
      </c>
      <c r="J24" s="4"/>
      <c r="K24" s="4">
        <v>-30000</v>
      </c>
      <c r="L24" s="4">
        <v>-20000</v>
      </c>
      <c r="M24" s="4">
        <v>0</v>
      </c>
      <c r="N24" s="4">
        <v>-10000</v>
      </c>
      <c r="O24" s="4">
        <v>-160000</v>
      </c>
      <c r="P24" s="4">
        <v>-10000</v>
      </c>
      <c r="Q24" s="4">
        <v>0</v>
      </c>
      <c r="R24" s="4">
        <v>-20000</v>
      </c>
    </row>
    <row r="25" spans="1:18" x14ac:dyDescent="0.25">
      <c r="A25" s="30" t="s">
        <v>7</v>
      </c>
      <c r="B25" s="4" t="str">
        <f t="shared" ref="B25:B33" si="3">A25</f>
        <v>3912 - LAM</v>
      </c>
      <c r="C25" s="4"/>
      <c r="D25" s="3">
        <f t="shared" ref="D25" si="4">SUM(G25:R25)</f>
        <v>-10000</v>
      </c>
      <c r="E25" s="3"/>
      <c r="F25" s="3"/>
      <c r="G25" s="4"/>
      <c r="H25" s="4"/>
      <c r="I25" s="4"/>
      <c r="J25" s="4"/>
      <c r="K25" s="4"/>
      <c r="L25" s="4"/>
      <c r="M25" s="4"/>
      <c r="N25" s="4"/>
      <c r="O25" s="4">
        <v>-10000</v>
      </c>
      <c r="P25" s="4"/>
      <c r="Q25" s="4"/>
      <c r="R25" s="4"/>
    </row>
    <row r="26" spans="1:18" x14ac:dyDescent="0.25">
      <c r="A26" s="30" t="s">
        <v>85</v>
      </c>
      <c r="B26" s="4" t="str">
        <f t="shared" si="3"/>
        <v>3913 - Inntekt treningsleir</v>
      </c>
      <c r="C26" s="4" t="s">
        <v>89</v>
      </c>
      <c r="D26" s="3">
        <f>SUM(E26:R26)</f>
        <v>0</v>
      </c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30" t="s">
        <v>8</v>
      </c>
      <c r="B27" s="4" t="str">
        <f t="shared" si="3"/>
        <v>3914 - Leieinntekter trener</v>
      </c>
      <c r="C27" s="4"/>
      <c r="D27" s="3">
        <f>SUM(E27:R27)</f>
        <v>-50000</v>
      </c>
      <c r="E27" s="3"/>
      <c r="F27" s="3"/>
      <c r="G27" s="4"/>
      <c r="H27" s="4"/>
      <c r="I27" s="4">
        <v>-50000</v>
      </c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30" t="s">
        <v>9</v>
      </c>
      <c r="B28" s="4" t="str">
        <f t="shared" si="3"/>
        <v>3920 - Treningsavgift</v>
      </c>
      <c r="C28" s="4"/>
      <c r="D28" s="3">
        <f t="shared" ref="D28:D31" si="5">SUM(G28:R28)</f>
        <v>-200000</v>
      </c>
      <c r="E28" s="3"/>
      <c r="F28" s="3"/>
      <c r="G28" s="4"/>
      <c r="H28" s="4">
        <v>-100000</v>
      </c>
      <c r="I28" s="4"/>
      <c r="J28" s="4"/>
      <c r="K28" s="4"/>
      <c r="L28" s="4"/>
      <c r="M28" s="4"/>
      <c r="N28" s="4"/>
      <c r="O28" s="4">
        <v>-100000</v>
      </c>
      <c r="P28" s="4"/>
      <c r="Q28" s="4"/>
      <c r="R28" s="4"/>
    </row>
    <row r="29" spans="1:18" x14ac:dyDescent="0.25">
      <c r="A29" s="30" t="s">
        <v>10</v>
      </c>
      <c r="B29" s="4" t="str">
        <f t="shared" si="3"/>
        <v>3925 - Medlemskontingenter</v>
      </c>
      <c r="C29" s="4"/>
      <c r="D29" s="3">
        <f t="shared" si="5"/>
        <v>-10000</v>
      </c>
      <c r="E29" s="3"/>
      <c r="F29" s="3"/>
      <c r="G29" s="4"/>
      <c r="H29" s="4">
        <v>-10000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30" t="s">
        <v>11</v>
      </c>
      <c r="B30" s="4" t="str">
        <f t="shared" si="3"/>
        <v>3970 - Dugnad</v>
      </c>
      <c r="C30" s="4" t="s">
        <v>90</v>
      </c>
      <c r="D30" s="3">
        <f t="shared" si="5"/>
        <v>-170000</v>
      </c>
      <c r="E30" s="3"/>
      <c r="F30" s="3"/>
      <c r="G30" s="4"/>
      <c r="H30" s="4"/>
      <c r="I30" s="4">
        <v>-15000</v>
      </c>
      <c r="J30" s="4">
        <v>-50000</v>
      </c>
      <c r="K30" s="4"/>
      <c r="L30" s="4">
        <v>-50000</v>
      </c>
      <c r="M30" s="4"/>
      <c r="N30" s="4"/>
      <c r="O30" s="4"/>
      <c r="P30" s="4">
        <v>-25000</v>
      </c>
      <c r="Q30" s="4"/>
      <c r="R30" s="4">
        <v>-30000</v>
      </c>
    </row>
    <row r="31" spans="1:18" x14ac:dyDescent="0.25">
      <c r="A31" s="30" t="s">
        <v>12</v>
      </c>
      <c r="B31" s="4" t="str">
        <f t="shared" si="3"/>
        <v>3975 - Loddsalg</v>
      </c>
      <c r="C31" s="4" t="s">
        <v>91</v>
      </c>
      <c r="D31" s="3">
        <f t="shared" si="5"/>
        <v>-5000</v>
      </c>
      <c r="E31" s="3"/>
      <c r="F31" s="3"/>
      <c r="G31" s="4"/>
      <c r="H31" s="4"/>
      <c r="I31" s="4"/>
      <c r="J31" s="4"/>
      <c r="K31" s="4">
        <v>-55000</v>
      </c>
      <c r="L31" s="4">
        <v>50000</v>
      </c>
      <c r="M31" s="4"/>
      <c r="N31" s="4"/>
      <c r="O31" s="4"/>
      <c r="P31" s="4"/>
      <c r="Q31" s="4"/>
      <c r="R31" s="4"/>
    </row>
    <row r="32" spans="1:18" x14ac:dyDescent="0.25">
      <c r="A32" s="30" t="s">
        <v>52</v>
      </c>
      <c r="B32" s="4" t="str">
        <f t="shared" si="3"/>
        <v>Sum annen driftsinntekt</v>
      </c>
      <c r="C32" s="4"/>
      <c r="E32" s="3">
        <f>SUM(D24:D31)</f>
        <v>-855000</v>
      </c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30" t="s">
        <v>53</v>
      </c>
      <c r="B33" s="4" t="str">
        <f t="shared" si="3"/>
        <v>Sum driftsinntekter</v>
      </c>
      <c r="C33" s="4"/>
      <c r="E33" s="3"/>
      <c r="F33" s="3">
        <f>E32+E21</f>
        <v>-2129000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B34" s="4"/>
      <c r="C34" s="4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30" t="s">
        <v>55</v>
      </c>
      <c r="B35" s="4" t="str">
        <f>A35</f>
        <v>Varekostnad</v>
      </c>
      <c r="C35" s="4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30" t="s">
        <v>130</v>
      </c>
      <c r="B36" s="4" t="s">
        <v>13</v>
      </c>
      <c r="C36" s="4" t="s">
        <v>74</v>
      </c>
      <c r="D36" s="3">
        <f>SUM(G36:R36)</f>
        <v>19000</v>
      </c>
      <c r="E36" s="3"/>
      <c r="F36" s="3"/>
      <c r="G36" s="4"/>
      <c r="H36" s="4">
        <v>1000</v>
      </c>
      <c r="I36" s="4">
        <v>1000</v>
      </c>
      <c r="J36" s="4">
        <v>1000</v>
      </c>
      <c r="K36" s="4">
        <v>1000</v>
      </c>
      <c r="L36" s="4"/>
      <c r="M36" s="4">
        <v>5000</v>
      </c>
      <c r="N36" s="4">
        <v>0</v>
      </c>
      <c r="O36" s="4">
        <v>2000</v>
      </c>
      <c r="P36" s="4">
        <v>1000</v>
      </c>
      <c r="Q36" s="4">
        <v>5000</v>
      </c>
      <c r="R36" s="4">
        <v>2000</v>
      </c>
    </row>
    <row r="37" spans="1:18" x14ac:dyDescent="0.25">
      <c r="A37" s="30" t="s">
        <v>131</v>
      </c>
      <c r="B37" s="4"/>
      <c r="C37" s="4" t="s">
        <v>132</v>
      </c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30" t="s">
        <v>133</v>
      </c>
      <c r="B38" s="4" t="s">
        <v>78</v>
      </c>
      <c r="C38" s="4" t="s">
        <v>82</v>
      </c>
      <c r="D38" s="3">
        <f>SUM(G38:R38)</f>
        <v>40000</v>
      </c>
      <c r="E38" s="3"/>
      <c r="F38" s="3"/>
      <c r="G38" s="4"/>
      <c r="I38" s="2">
        <v>20000</v>
      </c>
      <c r="J38" s="4"/>
      <c r="K38" s="4"/>
      <c r="L38" s="4"/>
      <c r="M38" s="4"/>
      <c r="N38" s="4"/>
      <c r="O38" s="4">
        <v>20000</v>
      </c>
      <c r="P38" s="4"/>
      <c r="Q38" s="4"/>
      <c r="R38" s="4"/>
    </row>
    <row r="39" spans="1:18" x14ac:dyDescent="0.25">
      <c r="A39" s="30" t="s">
        <v>134</v>
      </c>
      <c r="B39" s="4" t="s">
        <v>80</v>
      </c>
      <c r="C39" s="4" t="s">
        <v>81</v>
      </c>
      <c r="D39" s="3">
        <f>SUM(G39:R39)</f>
        <v>120000</v>
      </c>
      <c r="E39" s="3"/>
      <c r="F39" s="3"/>
      <c r="G39" s="4"/>
      <c r="I39" s="4">
        <v>70000</v>
      </c>
      <c r="J39" s="4"/>
      <c r="K39" s="4"/>
      <c r="L39" s="4"/>
      <c r="M39" s="4"/>
      <c r="N39" s="4"/>
      <c r="O39" s="4">
        <v>50000</v>
      </c>
      <c r="P39" s="4"/>
      <c r="Q39" s="4"/>
      <c r="R39" s="4"/>
    </row>
    <row r="40" spans="1:18" x14ac:dyDescent="0.25">
      <c r="A40" s="30" t="s">
        <v>135</v>
      </c>
      <c r="B40" s="4" t="s">
        <v>79</v>
      </c>
      <c r="C40" s="4" t="s">
        <v>107</v>
      </c>
      <c r="D40" s="3">
        <f>SUM(G40:R40)</f>
        <v>17000</v>
      </c>
      <c r="E40" s="3"/>
      <c r="F40" s="3"/>
      <c r="G40" s="4"/>
      <c r="I40" s="2">
        <v>10000</v>
      </c>
      <c r="J40" s="4"/>
      <c r="K40" s="4"/>
      <c r="L40" s="4"/>
      <c r="M40" s="4"/>
      <c r="N40" s="4"/>
      <c r="O40" s="4">
        <v>7000</v>
      </c>
      <c r="P40" s="4"/>
      <c r="Q40" s="4"/>
      <c r="R40" s="4"/>
    </row>
    <row r="41" spans="1:18" x14ac:dyDescent="0.25">
      <c r="A41" s="30" t="s">
        <v>14</v>
      </c>
      <c r="B41" s="4" t="str">
        <f>A41</f>
        <v>4115 - Premier svømmestevne</v>
      </c>
      <c r="C41" s="4"/>
      <c r="D41" s="3">
        <f>SUM(G41:R41)</f>
        <v>55000</v>
      </c>
      <c r="E41" s="3"/>
      <c r="F41" s="3"/>
      <c r="G41" s="4"/>
      <c r="I41" s="4">
        <v>25000</v>
      </c>
      <c r="J41" s="4"/>
      <c r="K41" s="4"/>
      <c r="L41" s="4"/>
      <c r="M41" s="4"/>
      <c r="N41" s="4"/>
      <c r="O41" s="4">
        <v>30000</v>
      </c>
      <c r="P41" s="4"/>
      <c r="Q41" s="4"/>
      <c r="R41" s="4"/>
    </row>
    <row r="42" spans="1:18" ht="30" x14ac:dyDescent="0.25">
      <c r="A42" s="30" t="s">
        <v>136</v>
      </c>
      <c r="B42" s="4" t="s">
        <v>101</v>
      </c>
      <c r="C42" s="5" t="s">
        <v>100</v>
      </c>
      <c r="D42" s="3">
        <f>SUM(G42:R42)</f>
        <v>65000</v>
      </c>
      <c r="E42" s="3"/>
      <c r="F42" s="3"/>
      <c r="G42" s="4"/>
      <c r="I42" s="60">
        <v>30000</v>
      </c>
      <c r="J42" s="4"/>
      <c r="K42" s="4"/>
      <c r="L42" s="4"/>
      <c r="M42" s="4"/>
      <c r="N42" s="4"/>
      <c r="O42" s="4">
        <v>35000</v>
      </c>
      <c r="P42" s="4"/>
      <c r="Q42" s="4"/>
      <c r="R42" s="4"/>
    </row>
    <row r="43" spans="1:18" x14ac:dyDescent="0.25">
      <c r="A43" s="30" t="s">
        <v>56</v>
      </c>
      <c r="B43" s="4" t="str">
        <f t="shared" ref="B43:B52" si="6">A43</f>
        <v>4125 - Lisenser nsf</v>
      </c>
      <c r="C43" s="4"/>
      <c r="D43" s="3">
        <f t="shared" ref="D43" si="7">SUM(G43:R43)</f>
        <v>1100</v>
      </c>
      <c r="E43" s="3"/>
      <c r="F43" s="3"/>
      <c r="G43" s="4"/>
      <c r="H43" s="4"/>
      <c r="I43" s="4"/>
      <c r="J43" s="4"/>
      <c r="K43" s="4"/>
      <c r="L43" s="4">
        <v>1100</v>
      </c>
      <c r="M43" s="4"/>
      <c r="N43" s="4"/>
      <c r="O43" s="4"/>
      <c r="P43" s="4"/>
      <c r="Q43" s="4"/>
      <c r="R43" s="4"/>
    </row>
    <row r="44" spans="1:18" x14ac:dyDescent="0.25">
      <c r="A44" s="30" t="s">
        <v>15</v>
      </c>
      <c r="B44" s="4" t="str">
        <f t="shared" si="6"/>
        <v>4200 - Representasjon</v>
      </c>
      <c r="C44" s="4"/>
      <c r="D44" s="3">
        <f>SUM(E44:R44)</f>
        <v>0</v>
      </c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30" t="s">
        <v>57</v>
      </c>
      <c r="B45" s="4" t="str">
        <f t="shared" si="6"/>
        <v>4205 - Sponsing av utøvere</v>
      </c>
      <c r="C45" s="4" t="s">
        <v>95</v>
      </c>
      <c r="D45" s="3">
        <f>SUM(G45:R45)</f>
        <v>0</v>
      </c>
      <c r="E45" s="3"/>
      <c r="F45" s="3"/>
      <c r="G45" s="4"/>
      <c r="H45" s="4"/>
      <c r="I45" s="4">
        <v>0</v>
      </c>
      <c r="J45" s="4">
        <v>0</v>
      </c>
      <c r="K45" s="4"/>
      <c r="L45" s="4"/>
      <c r="M45" s="4">
        <v>0</v>
      </c>
      <c r="N45" s="4"/>
      <c r="O45" s="4"/>
      <c r="P45" s="4"/>
      <c r="Q45" s="4">
        <v>0</v>
      </c>
      <c r="R45" s="4"/>
    </row>
    <row r="46" spans="1:18" x14ac:dyDescent="0.25">
      <c r="A46" s="30" t="s">
        <v>16</v>
      </c>
      <c r="B46" s="4" t="str">
        <f t="shared" si="6"/>
        <v>4210 - Utgifter treningsleir</v>
      </c>
      <c r="C46" s="4"/>
      <c r="D46" s="3">
        <f>SUM(G46:R46)</f>
        <v>10000</v>
      </c>
      <c r="E46" s="3"/>
      <c r="F46" s="3"/>
      <c r="G46" s="4"/>
      <c r="H46" s="4"/>
      <c r="I46" s="4"/>
      <c r="J46" s="4"/>
      <c r="K46" s="4"/>
      <c r="L46" s="4"/>
      <c r="M46" s="4"/>
      <c r="N46" s="4">
        <v>5000</v>
      </c>
      <c r="O46" s="4"/>
      <c r="P46" s="4">
        <v>5000</v>
      </c>
      <c r="Q46" s="4"/>
      <c r="R46" s="4"/>
    </row>
    <row r="47" spans="1:18" x14ac:dyDescent="0.25">
      <c r="A47" s="30" t="s">
        <v>17</v>
      </c>
      <c r="B47" s="4" t="str">
        <f t="shared" si="6"/>
        <v>4230 - Utstyr til aktiviteter</v>
      </c>
      <c r="C47" s="4" t="s">
        <v>108</v>
      </c>
      <c r="D47" s="3">
        <f>SUM(G47:R47)</f>
        <v>7000</v>
      </c>
      <c r="E47" s="3"/>
      <c r="F47" s="3"/>
      <c r="G47" s="4"/>
      <c r="H47" s="4">
        <v>1000</v>
      </c>
      <c r="I47" s="4"/>
      <c r="J47" s="4"/>
      <c r="K47" s="4">
        <f>$G$47</f>
        <v>0</v>
      </c>
      <c r="L47" s="4"/>
      <c r="M47" s="4"/>
      <c r="N47" s="4">
        <f>$G$47</f>
        <v>0</v>
      </c>
      <c r="O47" s="4">
        <v>5000</v>
      </c>
      <c r="P47" s="4"/>
      <c r="Q47" s="4">
        <v>1000</v>
      </c>
      <c r="R47" s="4">
        <f>$G$47</f>
        <v>0</v>
      </c>
    </row>
    <row r="48" spans="1:18" x14ac:dyDescent="0.25">
      <c r="A48" s="30" t="s">
        <v>18</v>
      </c>
      <c r="B48" s="4" t="str">
        <f t="shared" si="6"/>
        <v>4300 - Innkjøp av varer for videresalg</v>
      </c>
      <c r="C48" s="4" t="s">
        <v>92</v>
      </c>
      <c r="D48" s="3">
        <f>SUM(G48:R48)</f>
        <v>6000</v>
      </c>
      <c r="E48" s="3"/>
      <c r="F48" s="3"/>
      <c r="G48" s="4"/>
      <c r="H48" s="4">
        <v>3000</v>
      </c>
      <c r="I48" s="4"/>
      <c r="J48" s="4"/>
      <c r="K48" s="4"/>
      <c r="L48" s="4"/>
      <c r="M48" s="4"/>
      <c r="N48" s="4"/>
      <c r="O48" s="4">
        <v>3000</v>
      </c>
      <c r="P48" s="4"/>
      <c r="Q48" s="4"/>
      <c r="R48" s="4"/>
    </row>
    <row r="49" spans="1:18" x14ac:dyDescent="0.25">
      <c r="A49" s="30" t="s">
        <v>86</v>
      </c>
      <c r="B49" s="4" t="str">
        <f t="shared" si="6"/>
        <v>4350 - Tap på utmeldte medlemmer</v>
      </c>
      <c r="C49" s="4"/>
      <c r="D49" s="3">
        <v>0</v>
      </c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30" t="s">
        <v>19</v>
      </c>
      <c r="B50" s="4" t="str">
        <f t="shared" si="6"/>
        <v>4510 - Innleie av arbeidskraft</v>
      </c>
      <c r="C50" s="4" t="s">
        <v>104</v>
      </c>
      <c r="D50" s="3">
        <f>SUM(G50:R50)</f>
        <v>0</v>
      </c>
      <c r="E50" s="3"/>
      <c r="F50" s="3"/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/>
      <c r="N50" s="4">
        <v>0</v>
      </c>
      <c r="O50" s="4">
        <v>0</v>
      </c>
      <c r="P50" s="4">
        <v>0</v>
      </c>
      <c r="Q50" s="4">
        <f>P50</f>
        <v>0</v>
      </c>
      <c r="R50" s="4">
        <f>Q50</f>
        <v>0</v>
      </c>
    </row>
    <row r="51" spans="1:18" x14ac:dyDescent="0.25">
      <c r="A51" s="30" t="s">
        <v>58</v>
      </c>
      <c r="B51" s="4" t="str">
        <f t="shared" si="6"/>
        <v>Sum varekostnad</v>
      </c>
      <c r="C51" s="4"/>
      <c r="D51" s="3"/>
      <c r="E51" s="3">
        <f>SUM(D36:D50)</f>
        <v>340100</v>
      </c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30" t="s">
        <v>54</v>
      </c>
      <c r="B52" s="4" t="str">
        <f t="shared" si="6"/>
        <v/>
      </c>
      <c r="C52" s="4"/>
      <c r="D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B53" s="4"/>
      <c r="C53" s="4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30" t="s">
        <v>99</v>
      </c>
      <c r="B54" s="4" t="s">
        <v>99</v>
      </c>
      <c r="C54" s="4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45" x14ac:dyDescent="0.25">
      <c r="A55" s="30" t="s">
        <v>20</v>
      </c>
      <c r="B55" s="4" t="str">
        <f t="shared" ref="B55:B63" si="8">A55</f>
        <v>5010 - Lønn over grensen for arb.g.avgift</v>
      </c>
      <c r="C55" s="5" t="s">
        <v>110</v>
      </c>
      <c r="D55" s="3">
        <f>SUM(G54:R55)</f>
        <v>1130000</v>
      </c>
      <c r="E55" s="3"/>
      <c r="F55" s="3"/>
      <c r="G55" s="4">
        <v>130000</v>
      </c>
      <c r="H55" s="4">
        <v>130000</v>
      </c>
      <c r="I55" s="4">
        <v>80000</v>
      </c>
      <c r="J55" s="4">
        <v>80000</v>
      </c>
      <c r="K55" s="4">
        <v>80000</v>
      </c>
      <c r="L55" s="4">
        <v>80000</v>
      </c>
      <c r="M55" s="4">
        <v>0</v>
      </c>
      <c r="N55" s="4">
        <v>110000</v>
      </c>
      <c r="O55" s="4">
        <v>110000</v>
      </c>
      <c r="P55" s="4">
        <v>110000</v>
      </c>
      <c r="Q55" s="4">
        <v>110000</v>
      </c>
      <c r="R55" s="4">
        <v>110000</v>
      </c>
    </row>
    <row r="56" spans="1:18" x14ac:dyDescent="0.25">
      <c r="A56" s="30" t="s">
        <v>21</v>
      </c>
      <c r="B56" s="4" t="str">
        <f t="shared" si="8"/>
        <v>5011 - Lønn m/feriepenger</v>
      </c>
      <c r="C56" s="4"/>
      <c r="D56" s="3">
        <f t="shared" ref="D56:D62" si="9">SUM(G56:R56)</f>
        <v>0</v>
      </c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30" t="s">
        <v>22</v>
      </c>
      <c r="B57" s="4" t="str">
        <f t="shared" si="8"/>
        <v>5012 - Fradrag for bilgodtgjørsle</v>
      </c>
      <c r="C57" s="4"/>
      <c r="D57" s="3">
        <f t="shared" si="9"/>
        <v>0</v>
      </c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30" t="s">
        <v>23</v>
      </c>
      <c r="B58" s="4" t="str">
        <f t="shared" si="8"/>
        <v>5014 - Lønn u/feriepenger</v>
      </c>
      <c r="C58" s="4"/>
      <c r="D58" s="3">
        <f t="shared" si="9"/>
        <v>45000</v>
      </c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45000</v>
      </c>
    </row>
    <row r="59" spans="1:18" x14ac:dyDescent="0.25">
      <c r="A59" s="30" t="s">
        <v>24</v>
      </c>
      <c r="B59" s="4" t="str">
        <f t="shared" si="8"/>
        <v>5090 - Avsatt feriepenger</v>
      </c>
      <c r="C59" s="4"/>
      <c r="D59" s="3">
        <f t="shared" si="9"/>
        <v>115260</v>
      </c>
      <c r="E59" s="3"/>
      <c r="F59" s="3"/>
      <c r="G59" s="4">
        <f>(G54+G55)*10.2%</f>
        <v>13260</v>
      </c>
      <c r="H59" s="4">
        <f t="shared" ref="H59:R59" si="10">(H54+H55)*10.2%</f>
        <v>13260</v>
      </c>
      <c r="I59" s="4">
        <f t="shared" si="10"/>
        <v>8159.9999999999991</v>
      </c>
      <c r="J59" s="4">
        <f t="shared" si="10"/>
        <v>8159.9999999999991</v>
      </c>
      <c r="K59" s="4">
        <f t="shared" si="10"/>
        <v>8159.9999999999991</v>
      </c>
      <c r="L59" s="4">
        <f t="shared" si="10"/>
        <v>8159.9999999999991</v>
      </c>
      <c r="M59" s="4">
        <f t="shared" si="10"/>
        <v>0</v>
      </c>
      <c r="N59" s="4">
        <f t="shared" si="10"/>
        <v>11220</v>
      </c>
      <c r="O59" s="4">
        <f t="shared" si="10"/>
        <v>11220</v>
      </c>
      <c r="P59" s="4">
        <f t="shared" si="10"/>
        <v>11220</v>
      </c>
      <c r="Q59" s="4">
        <f t="shared" si="10"/>
        <v>11220</v>
      </c>
      <c r="R59" s="4">
        <f t="shared" si="10"/>
        <v>11220</v>
      </c>
    </row>
    <row r="60" spans="1:18" x14ac:dyDescent="0.25">
      <c r="B60" s="4" t="s">
        <v>142</v>
      </c>
      <c r="C60" s="4"/>
      <c r="D60" s="3">
        <f t="shared" si="9"/>
        <v>44400</v>
      </c>
      <c r="E60" s="3"/>
      <c r="F60" s="3"/>
      <c r="G60" s="4">
        <v>3700</v>
      </c>
      <c r="H60" s="4">
        <v>3700</v>
      </c>
      <c r="I60" s="4">
        <v>3700</v>
      </c>
      <c r="J60" s="4">
        <v>3700</v>
      </c>
      <c r="K60" s="4">
        <v>3700</v>
      </c>
      <c r="L60" s="4">
        <v>3700</v>
      </c>
      <c r="M60" s="4">
        <v>3700</v>
      </c>
      <c r="N60" s="4">
        <v>3700</v>
      </c>
      <c r="O60" s="4">
        <v>3700</v>
      </c>
      <c r="P60" s="4">
        <v>3700</v>
      </c>
      <c r="Q60" s="4">
        <v>3700</v>
      </c>
      <c r="R60" s="4">
        <v>3700</v>
      </c>
    </row>
    <row r="61" spans="1:18" x14ac:dyDescent="0.25">
      <c r="A61" s="30" t="s">
        <v>25</v>
      </c>
      <c r="B61" s="4" t="str">
        <f t="shared" si="8"/>
        <v>5410 - Arbeidsgiveravgift</v>
      </c>
      <c r="C61" s="4"/>
      <c r="D61" s="3">
        <f>SUM(G61:R61)</f>
        <v>158200</v>
      </c>
      <c r="E61" s="3"/>
      <c r="F61" s="3"/>
      <c r="G61" s="4">
        <f>(G54+G55)*14%</f>
        <v>18200</v>
      </c>
      <c r="H61" s="4">
        <f t="shared" ref="H61:R61" si="11">(H54+H55)*14%</f>
        <v>18200</v>
      </c>
      <c r="I61" s="4">
        <f t="shared" si="11"/>
        <v>11200.000000000002</v>
      </c>
      <c r="J61" s="4">
        <f t="shared" si="11"/>
        <v>11200.000000000002</v>
      </c>
      <c r="K61" s="4">
        <f t="shared" si="11"/>
        <v>11200.000000000002</v>
      </c>
      <c r="L61" s="4">
        <f t="shared" si="11"/>
        <v>11200.000000000002</v>
      </c>
      <c r="M61" s="4">
        <f t="shared" si="11"/>
        <v>0</v>
      </c>
      <c r="N61" s="4">
        <f t="shared" si="11"/>
        <v>15400.000000000002</v>
      </c>
      <c r="O61" s="4">
        <f t="shared" si="11"/>
        <v>15400.000000000002</v>
      </c>
      <c r="P61" s="4">
        <f t="shared" si="11"/>
        <v>15400.000000000002</v>
      </c>
      <c r="Q61" s="4">
        <f t="shared" si="11"/>
        <v>15400.000000000002</v>
      </c>
      <c r="R61" s="4">
        <f t="shared" si="11"/>
        <v>15400.000000000002</v>
      </c>
    </row>
    <row r="62" spans="1:18" x14ac:dyDescent="0.25">
      <c r="A62" s="30" t="s">
        <v>26</v>
      </c>
      <c r="B62" s="4" t="str">
        <f t="shared" si="8"/>
        <v>5490 - Avsatt arb.g.avg. feriepenger</v>
      </c>
      <c r="C62" s="4"/>
      <c r="D62" s="3">
        <f t="shared" si="9"/>
        <v>16136.399999999998</v>
      </c>
      <c r="E62" s="3"/>
      <c r="F62" s="3"/>
      <c r="G62" s="4">
        <f>G59*14%</f>
        <v>1856.4</v>
      </c>
      <c r="H62" s="4">
        <f t="shared" ref="H62:R62" si="12">H59*14%</f>
        <v>1856.4</v>
      </c>
      <c r="I62" s="4">
        <f t="shared" si="12"/>
        <v>1142.4000000000001</v>
      </c>
      <c r="J62" s="4">
        <f t="shared" si="12"/>
        <v>1142.4000000000001</v>
      </c>
      <c r="K62" s="4">
        <f t="shared" si="12"/>
        <v>1142.4000000000001</v>
      </c>
      <c r="L62" s="4">
        <f t="shared" si="12"/>
        <v>1142.4000000000001</v>
      </c>
      <c r="M62" s="4">
        <f t="shared" si="12"/>
        <v>0</v>
      </c>
      <c r="N62" s="4">
        <f t="shared" si="12"/>
        <v>1570.8000000000002</v>
      </c>
      <c r="O62" s="4">
        <f t="shared" si="12"/>
        <v>1570.8000000000002</v>
      </c>
      <c r="P62" s="4">
        <f t="shared" si="12"/>
        <v>1570.8000000000002</v>
      </c>
      <c r="Q62" s="4">
        <f t="shared" si="12"/>
        <v>1570.8000000000002</v>
      </c>
      <c r="R62" s="4">
        <f t="shared" si="12"/>
        <v>1570.8000000000002</v>
      </c>
    </row>
    <row r="63" spans="1:18" x14ac:dyDescent="0.25">
      <c r="A63" s="30" t="s">
        <v>59</v>
      </c>
      <c r="B63" s="4" t="str">
        <f t="shared" si="8"/>
        <v>Sum lønnskostnad</v>
      </c>
      <c r="C63" s="4"/>
      <c r="E63" s="3">
        <f>SUM(D55:D62)</f>
        <v>1508996.4</v>
      </c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30" t="s">
        <v>54</v>
      </c>
      <c r="B64" s="4"/>
      <c r="C64" s="4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30" t="s">
        <v>60</v>
      </c>
      <c r="B65" s="4" t="str">
        <f>A65</f>
        <v>Annen driftskostnad</v>
      </c>
      <c r="C65" s="4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30" t="s">
        <v>27</v>
      </c>
      <c r="B66" s="4" t="str">
        <f>A66</f>
        <v>6310 - Leie lokaler</v>
      </c>
      <c r="C66" s="4" t="s">
        <v>75</v>
      </c>
      <c r="D66" s="3">
        <f t="shared" ref="D66:D71" si="13">SUM(G66:R66)</f>
        <v>15000</v>
      </c>
      <c r="E66" s="3"/>
      <c r="F66" s="3"/>
      <c r="G66" s="4"/>
      <c r="H66" s="4"/>
      <c r="I66" s="4"/>
      <c r="J66" s="4"/>
      <c r="K66" s="4"/>
      <c r="L66" s="4"/>
      <c r="M66" s="4"/>
      <c r="N66" s="4"/>
      <c r="O66" s="4">
        <v>15000</v>
      </c>
      <c r="P66" s="4"/>
      <c r="Q66" s="4"/>
      <c r="R66" s="4"/>
    </row>
    <row r="67" spans="1:18" x14ac:dyDescent="0.25">
      <c r="A67" s="30" t="s">
        <v>136</v>
      </c>
      <c r="B67" s="4" t="s">
        <v>111</v>
      </c>
      <c r="C67" s="4" t="s">
        <v>76</v>
      </c>
      <c r="D67" s="3">
        <f t="shared" si="13"/>
        <v>1500</v>
      </c>
      <c r="E67" s="3"/>
      <c r="F67" s="3"/>
      <c r="G67" s="4">
        <v>500</v>
      </c>
      <c r="H67" s="4">
        <v>0</v>
      </c>
      <c r="I67" s="4">
        <v>0</v>
      </c>
      <c r="J67" s="4">
        <v>0</v>
      </c>
      <c r="K67" s="4">
        <v>0</v>
      </c>
      <c r="L67" s="4">
        <v>500</v>
      </c>
      <c r="M67" s="4">
        <v>0</v>
      </c>
      <c r="N67" s="4">
        <v>500</v>
      </c>
      <c r="O67" s="4">
        <v>0</v>
      </c>
      <c r="P67" s="4">
        <v>0</v>
      </c>
      <c r="Q67" s="4">
        <v>0</v>
      </c>
      <c r="R67" s="4">
        <v>0</v>
      </c>
    </row>
    <row r="68" spans="1:18" x14ac:dyDescent="0.25">
      <c r="A68" s="30" t="s">
        <v>28</v>
      </c>
      <c r="B68" s="4" t="str">
        <f t="shared" ref="B68:B83" si="14">A68</f>
        <v>6490 - Leie postboks</v>
      </c>
      <c r="C68" s="4"/>
      <c r="D68" s="3">
        <f t="shared" si="13"/>
        <v>1130</v>
      </c>
      <c r="E68" s="3"/>
      <c r="F68" s="3"/>
      <c r="G68" s="4"/>
      <c r="H68" s="4"/>
      <c r="I68" s="4"/>
      <c r="J68" s="4"/>
      <c r="K68" s="4"/>
      <c r="L68" s="4"/>
      <c r="M68" s="4"/>
      <c r="N68" s="4"/>
      <c r="O68" s="4">
        <v>1130</v>
      </c>
      <c r="P68" s="4"/>
      <c r="Q68" s="4"/>
      <c r="R68" s="4"/>
    </row>
    <row r="69" spans="1:18" x14ac:dyDescent="0.25">
      <c r="A69" s="30" t="s">
        <v>29</v>
      </c>
      <c r="B69" s="4" t="str">
        <f t="shared" si="14"/>
        <v>6550 - Utstyr til svømmehall</v>
      </c>
      <c r="C69" s="4" t="s">
        <v>83</v>
      </c>
      <c r="D69" s="3">
        <f t="shared" si="13"/>
        <v>4000</v>
      </c>
      <c r="E69" s="3"/>
      <c r="F69" s="3"/>
      <c r="G69" s="4"/>
      <c r="H69" s="4">
        <v>2000</v>
      </c>
      <c r="I69" s="4"/>
      <c r="J69" s="4"/>
      <c r="K69" s="4"/>
      <c r="L69" s="4"/>
      <c r="M69" s="4"/>
      <c r="N69" s="4">
        <v>2000</v>
      </c>
      <c r="O69" s="4"/>
      <c r="P69" s="4">
        <v>0</v>
      </c>
      <c r="Q69" s="4">
        <v>0</v>
      </c>
      <c r="R69" s="4"/>
    </row>
    <row r="70" spans="1:18" x14ac:dyDescent="0.25">
      <c r="A70" s="30" t="s">
        <v>30</v>
      </c>
      <c r="B70" s="4" t="str">
        <f t="shared" si="14"/>
        <v>6570 - Arbeidsklær og svømmeutstyr</v>
      </c>
      <c r="C70" s="4" t="s">
        <v>112</v>
      </c>
      <c r="D70" s="3">
        <f t="shared" si="13"/>
        <v>6000</v>
      </c>
      <c r="E70" s="3"/>
      <c r="F70" s="3"/>
      <c r="G70" s="4"/>
      <c r="H70" s="4">
        <v>3000</v>
      </c>
      <c r="I70" s="4"/>
      <c r="J70" s="4"/>
      <c r="K70" s="4"/>
      <c r="L70" s="4"/>
      <c r="M70" s="4"/>
      <c r="N70" s="4"/>
      <c r="O70" s="4">
        <v>3000</v>
      </c>
      <c r="P70" s="4"/>
      <c r="Q70" s="4"/>
      <c r="R70" s="4"/>
    </row>
    <row r="71" spans="1:18" x14ac:dyDescent="0.25">
      <c r="A71" s="30" t="s">
        <v>31</v>
      </c>
      <c r="B71" s="4" t="str">
        <f t="shared" si="14"/>
        <v>6705 - Regnskapshonorar</v>
      </c>
      <c r="C71" s="4" t="s">
        <v>84</v>
      </c>
      <c r="D71" s="3">
        <f t="shared" si="13"/>
        <v>53000</v>
      </c>
      <c r="E71" s="3"/>
      <c r="F71" s="3"/>
      <c r="G71" s="4">
        <v>9000</v>
      </c>
      <c r="H71" s="4">
        <v>6000</v>
      </c>
      <c r="I71" s="4">
        <f>$H71</f>
        <v>6000</v>
      </c>
      <c r="J71" s="4">
        <f t="shared" ref="J71:K71" si="15">$H71</f>
        <v>6000</v>
      </c>
      <c r="K71" s="4">
        <f t="shared" si="15"/>
        <v>6000</v>
      </c>
      <c r="L71" s="4"/>
      <c r="M71" s="4"/>
      <c r="N71" s="4">
        <v>4000</v>
      </c>
      <c r="O71" s="4">
        <v>4000</v>
      </c>
      <c r="P71" s="4">
        <v>4000</v>
      </c>
      <c r="Q71" s="4">
        <v>4000</v>
      </c>
      <c r="R71" s="4">
        <v>4000</v>
      </c>
    </row>
    <row r="72" spans="1:18" x14ac:dyDescent="0.25">
      <c r="A72" s="30" t="s">
        <v>32</v>
      </c>
      <c r="B72" s="4" t="str">
        <f t="shared" si="14"/>
        <v>6800 - Kontorrekvisita</v>
      </c>
      <c r="C72" s="4"/>
      <c r="D72" s="3">
        <v>3000</v>
      </c>
      <c r="E72" s="3"/>
      <c r="F72" s="3"/>
      <c r="G72" s="2">
        <f t="shared" ref="G72:K72" si="16">$D72/10</f>
        <v>300</v>
      </c>
      <c r="H72" s="2">
        <f t="shared" si="16"/>
        <v>300</v>
      </c>
      <c r="I72" s="2">
        <f t="shared" si="16"/>
        <v>300</v>
      </c>
      <c r="J72" s="2">
        <f t="shared" si="16"/>
        <v>300</v>
      </c>
      <c r="K72" s="2">
        <f t="shared" si="16"/>
        <v>300</v>
      </c>
      <c r="M72" s="4"/>
      <c r="N72" s="2">
        <f t="shared" ref="N72:R72" si="17">$D72/10</f>
        <v>300</v>
      </c>
      <c r="O72" s="2">
        <f t="shared" si="17"/>
        <v>300</v>
      </c>
      <c r="P72" s="2">
        <f t="shared" si="17"/>
        <v>300</v>
      </c>
      <c r="Q72" s="2">
        <f t="shared" si="17"/>
        <v>300</v>
      </c>
      <c r="R72" s="2">
        <f t="shared" si="17"/>
        <v>300</v>
      </c>
    </row>
    <row r="73" spans="1:18" x14ac:dyDescent="0.25">
      <c r="A73" s="30" t="s">
        <v>61</v>
      </c>
      <c r="B73" s="4" t="str">
        <f t="shared" si="14"/>
        <v>6810 - Data/edb-kostnad</v>
      </c>
      <c r="C73" s="4"/>
      <c r="D73" s="3">
        <f>SUM(G73:R73)</f>
        <v>17600</v>
      </c>
      <c r="E73" s="3"/>
      <c r="F73" s="3"/>
      <c r="G73" s="4">
        <f>4000+800</f>
        <v>4800</v>
      </c>
      <c r="H73" s="4">
        <v>800</v>
      </c>
      <c r="I73" s="4">
        <v>800</v>
      </c>
      <c r="J73" s="4">
        <v>800</v>
      </c>
      <c r="K73" s="4">
        <v>800</v>
      </c>
      <c r="L73" s="4">
        <v>800</v>
      </c>
      <c r="M73" s="4">
        <v>800</v>
      </c>
      <c r="N73" s="4">
        <f>4000+800</f>
        <v>4800</v>
      </c>
      <c r="O73" s="4">
        <v>800</v>
      </c>
      <c r="P73" s="4">
        <v>800</v>
      </c>
      <c r="Q73" s="4">
        <v>800</v>
      </c>
      <c r="R73" s="4">
        <v>800</v>
      </c>
    </row>
    <row r="74" spans="1:18" x14ac:dyDescent="0.25">
      <c r="A74" s="30" t="s">
        <v>62</v>
      </c>
      <c r="B74" s="4" t="str">
        <f t="shared" si="14"/>
        <v>6840 - Aviser / bøker / tidsskrifter</v>
      </c>
      <c r="C74" s="4"/>
      <c r="D74" s="3">
        <v>500</v>
      </c>
      <c r="E74" s="3"/>
      <c r="F74" s="3"/>
      <c r="G74" s="4"/>
      <c r="H74" s="4">
        <v>500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30" t="s">
        <v>33</v>
      </c>
      <c r="B75" s="4" t="str">
        <f t="shared" si="14"/>
        <v>6850 - Sosiale kostnader klubben</v>
      </c>
      <c r="C75" s="4"/>
      <c r="D75" s="3">
        <f>SUM(G75:R75)</f>
        <v>8000</v>
      </c>
      <c r="E75" s="3"/>
      <c r="F75" s="3"/>
      <c r="G75" s="4"/>
      <c r="H75" s="4">
        <v>1250</v>
      </c>
      <c r="I75" s="4">
        <v>1250</v>
      </c>
      <c r="J75" s="4"/>
      <c r="K75" s="4"/>
      <c r="L75" s="4"/>
      <c r="M75" s="4"/>
      <c r="N75" s="4"/>
      <c r="O75" s="4">
        <v>2500</v>
      </c>
      <c r="P75" s="4"/>
      <c r="Q75" s="4"/>
      <c r="R75" s="4">
        <v>3000</v>
      </c>
    </row>
    <row r="76" spans="1:18" x14ac:dyDescent="0.25">
      <c r="A76" s="30" t="s">
        <v>34</v>
      </c>
      <c r="B76" s="4" t="str">
        <f t="shared" si="14"/>
        <v>6860 - Møter, kurs, oppdatering</v>
      </c>
      <c r="C76" s="4" t="s">
        <v>109</v>
      </c>
      <c r="D76" s="3">
        <f>SUM(G76:R76)</f>
        <v>12500</v>
      </c>
      <c r="E76" s="3"/>
      <c r="F76" s="3"/>
      <c r="I76" s="2">
        <v>0</v>
      </c>
      <c r="K76" s="2">
        <v>3000</v>
      </c>
      <c r="L76" s="4"/>
      <c r="M76" s="4"/>
      <c r="N76" s="2">
        <v>1000</v>
      </c>
      <c r="O76" s="2">
        <v>8500</v>
      </c>
      <c r="P76" s="2">
        <v>0</v>
      </c>
      <c r="Q76" s="2">
        <v>0</v>
      </c>
      <c r="R76" s="2">
        <v>0</v>
      </c>
    </row>
    <row r="77" spans="1:18" x14ac:dyDescent="0.25">
      <c r="A77" s="30" t="s">
        <v>35</v>
      </c>
      <c r="B77" s="4" t="str">
        <f t="shared" si="14"/>
        <v>6900 - Telefon</v>
      </c>
      <c r="C77" s="4" t="s">
        <v>102</v>
      </c>
      <c r="D77" s="3">
        <f>SUM(G77:R77)</f>
        <v>0</v>
      </c>
      <c r="E77" s="3"/>
      <c r="F77" s="3"/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4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</row>
    <row r="78" spans="1:18" x14ac:dyDescent="0.25">
      <c r="A78" s="30" t="s">
        <v>36</v>
      </c>
      <c r="B78" s="4" t="str">
        <f t="shared" si="14"/>
        <v>6940 - Porto</v>
      </c>
      <c r="C78" s="4"/>
      <c r="D78" s="3">
        <v>200</v>
      </c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30" t="s">
        <v>37</v>
      </c>
      <c r="B79" s="4" t="str">
        <f t="shared" si="14"/>
        <v>7100 - Bilgodtgjørsle</v>
      </c>
      <c r="C79" s="4"/>
      <c r="D79" s="3">
        <f>SUM(G79:R79)</f>
        <v>5500</v>
      </c>
      <c r="E79" s="3"/>
      <c r="F79" s="3"/>
      <c r="G79" s="4">
        <v>500</v>
      </c>
      <c r="H79" s="4">
        <v>500</v>
      </c>
      <c r="I79" s="4">
        <v>500</v>
      </c>
      <c r="J79" s="4">
        <v>500</v>
      </c>
      <c r="K79" s="4">
        <v>500</v>
      </c>
      <c r="L79" s="4">
        <v>500</v>
      </c>
      <c r="M79" s="4"/>
      <c r="N79" s="4">
        <v>500</v>
      </c>
      <c r="O79" s="4">
        <v>500</v>
      </c>
      <c r="P79" s="4">
        <v>500</v>
      </c>
      <c r="Q79" s="4">
        <v>500</v>
      </c>
      <c r="R79" s="4">
        <v>500</v>
      </c>
    </row>
    <row r="80" spans="1:18" x14ac:dyDescent="0.25">
      <c r="A80" s="30" t="s">
        <v>38</v>
      </c>
      <c r="B80" s="4" t="str">
        <f t="shared" si="14"/>
        <v>7140 - Reisekosnad</v>
      </c>
      <c r="C80" s="4"/>
      <c r="D80" s="3">
        <f>SUM(G80:R80)</f>
        <v>36000</v>
      </c>
      <c r="E80" s="3"/>
      <c r="F80" s="3"/>
      <c r="G80" s="4">
        <v>3000</v>
      </c>
      <c r="H80" s="4">
        <v>3000</v>
      </c>
      <c r="I80" s="4">
        <v>3000</v>
      </c>
      <c r="J80" s="4">
        <v>3000</v>
      </c>
      <c r="K80" s="4">
        <v>3000</v>
      </c>
      <c r="L80" s="4">
        <v>3000</v>
      </c>
      <c r="M80" s="4">
        <v>3000</v>
      </c>
      <c r="N80" s="4">
        <v>3000</v>
      </c>
      <c r="O80" s="4">
        <v>3000</v>
      </c>
      <c r="P80" s="4">
        <v>3000</v>
      </c>
      <c r="Q80" s="4">
        <v>3000</v>
      </c>
      <c r="R80" s="4">
        <v>3000</v>
      </c>
    </row>
    <row r="81" spans="1:18" x14ac:dyDescent="0.25">
      <c r="A81" s="30" t="s">
        <v>39</v>
      </c>
      <c r="B81" s="4" t="str">
        <f t="shared" si="14"/>
        <v>7150 - Diettkostnad</v>
      </c>
      <c r="C81" s="4"/>
      <c r="D81" s="3">
        <f>SUM(G81:R81)</f>
        <v>12000</v>
      </c>
      <c r="E81" s="3"/>
      <c r="F81" s="3"/>
      <c r="G81" s="4">
        <v>1000</v>
      </c>
      <c r="H81" s="4">
        <v>1000</v>
      </c>
      <c r="I81" s="4">
        <v>1000</v>
      </c>
      <c r="J81" s="4">
        <v>1000</v>
      </c>
      <c r="K81" s="4">
        <v>1000</v>
      </c>
      <c r="L81" s="4">
        <v>1000</v>
      </c>
      <c r="M81" s="4">
        <v>1000</v>
      </c>
      <c r="N81" s="4">
        <v>1000</v>
      </c>
      <c r="O81" s="4">
        <v>1000</v>
      </c>
      <c r="P81" s="4">
        <v>1000</v>
      </c>
      <c r="Q81" s="4">
        <v>1000</v>
      </c>
      <c r="R81" s="4">
        <v>1000</v>
      </c>
    </row>
    <row r="82" spans="1:18" x14ac:dyDescent="0.25">
      <c r="A82" s="30" t="s">
        <v>40</v>
      </c>
      <c r="B82" s="4" t="str">
        <f t="shared" si="14"/>
        <v>7320 - Annonsekostnader</v>
      </c>
      <c r="C82" s="4"/>
      <c r="D82" s="3">
        <f>SUM(G82:R82)</f>
        <v>12000</v>
      </c>
      <c r="E82" s="3"/>
      <c r="F82" s="3"/>
      <c r="G82" s="4">
        <v>1000</v>
      </c>
      <c r="H82" s="4">
        <v>2000</v>
      </c>
      <c r="I82" s="4">
        <v>1000</v>
      </c>
      <c r="J82" s="4">
        <v>1000</v>
      </c>
      <c r="K82" s="4">
        <v>1000</v>
      </c>
      <c r="L82" s="4"/>
      <c r="M82" s="4"/>
      <c r="N82" s="4">
        <v>2000</v>
      </c>
      <c r="O82" s="4">
        <v>1000</v>
      </c>
      <c r="P82" s="4">
        <v>1000</v>
      </c>
      <c r="Q82" s="4">
        <v>1000</v>
      </c>
      <c r="R82" s="4">
        <v>1000</v>
      </c>
    </row>
    <row r="83" spans="1:18" x14ac:dyDescent="0.25">
      <c r="A83" s="30" t="s">
        <v>87</v>
      </c>
      <c r="B83" s="4" t="str">
        <f t="shared" si="14"/>
        <v>7400 - Kontingenter</v>
      </c>
      <c r="C83" s="4"/>
      <c r="D83" s="3">
        <v>1000</v>
      </c>
      <c r="E83" s="3"/>
      <c r="F83" s="3"/>
      <c r="G83" s="4"/>
      <c r="H83" s="4">
        <v>1000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30" t="s">
        <v>41</v>
      </c>
      <c r="B84" s="4" t="str">
        <f>A84</f>
        <v>7420 - Gave</v>
      </c>
      <c r="C84" s="4"/>
      <c r="D84" s="3">
        <f>SUM(G84:R84)</f>
        <v>3000</v>
      </c>
      <c r="E84" s="3"/>
      <c r="F84" s="3"/>
      <c r="G84" s="4">
        <v>200</v>
      </c>
      <c r="H84" s="4">
        <f>$G84</f>
        <v>200</v>
      </c>
      <c r="I84" s="4">
        <f t="shared" ref="I84:Q84" si="18">$G84</f>
        <v>200</v>
      </c>
      <c r="J84" s="4">
        <f t="shared" si="18"/>
        <v>200</v>
      </c>
      <c r="K84" s="4">
        <f t="shared" si="18"/>
        <v>200</v>
      </c>
      <c r="L84" s="4">
        <v>600</v>
      </c>
      <c r="M84" s="4"/>
      <c r="N84" s="4">
        <f t="shared" si="18"/>
        <v>200</v>
      </c>
      <c r="O84" s="4">
        <f t="shared" si="18"/>
        <v>200</v>
      </c>
      <c r="P84" s="4">
        <f t="shared" si="18"/>
        <v>200</v>
      </c>
      <c r="Q84" s="4">
        <f t="shared" si="18"/>
        <v>200</v>
      </c>
      <c r="R84" s="4">
        <v>600</v>
      </c>
    </row>
    <row r="85" spans="1:18" x14ac:dyDescent="0.25">
      <c r="B85" s="56" t="s">
        <v>141</v>
      </c>
      <c r="C85" s="4"/>
      <c r="D85" s="3">
        <f>SUM(G85:R85)</f>
        <v>6000</v>
      </c>
      <c r="E85" s="3"/>
      <c r="F85" s="3"/>
      <c r="G85" s="4">
        <v>500</v>
      </c>
      <c r="H85" s="4">
        <v>500</v>
      </c>
      <c r="I85" s="4">
        <v>500</v>
      </c>
      <c r="J85" s="4">
        <v>500</v>
      </c>
      <c r="K85" s="4">
        <v>500</v>
      </c>
      <c r="L85" s="4">
        <v>500</v>
      </c>
      <c r="M85" s="4">
        <v>500</v>
      </c>
      <c r="N85" s="4">
        <v>500</v>
      </c>
      <c r="O85" s="4">
        <v>500</v>
      </c>
      <c r="P85" s="4">
        <v>500</v>
      </c>
      <c r="Q85" s="4">
        <v>500</v>
      </c>
      <c r="R85" s="4">
        <v>500</v>
      </c>
    </row>
    <row r="86" spans="1:18" x14ac:dyDescent="0.25">
      <c r="B86" s="56" t="s">
        <v>140</v>
      </c>
      <c r="C86" s="4"/>
      <c r="D86" s="3">
        <f>SUM(G86:R86)</f>
        <v>12000</v>
      </c>
      <c r="E86" s="3"/>
      <c r="F86" s="3"/>
      <c r="G86" s="4">
        <v>1000</v>
      </c>
      <c r="H86" s="4">
        <v>1000</v>
      </c>
      <c r="I86" s="4">
        <v>1000</v>
      </c>
      <c r="J86" s="4">
        <v>1000</v>
      </c>
      <c r="K86" s="4">
        <v>1000</v>
      </c>
      <c r="L86" s="4">
        <v>1000</v>
      </c>
      <c r="M86" s="4">
        <v>1000</v>
      </c>
      <c r="N86" s="4">
        <v>1000</v>
      </c>
      <c r="O86" s="4">
        <v>1000</v>
      </c>
      <c r="P86" s="4">
        <v>1000</v>
      </c>
      <c r="Q86" s="4">
        <v>1000</v>
      </c>
      <c r="R86" s="4">
        <v>1000</v>
      </c>
    </row>
    <row r="87" spans="1:18" x14ac:dyDescent="0.25">
      <c r="A87" s="30" t="s">
        <v>42</v>
      </c>
      <c r="B87" s="4" t="str">
        <f t="shared" ref="B87:B102" si="19">A87</f>
        <v>7770 - Bank- og kort gebyr</v>
      </c>
      <c r="C87" s="4"/>
      <c r="D87" s="3">
        <v>3000</v>
      </c>
      <c r="E87" s="3"/>
      <c r="F87" s="3"/>
      <c r="G87" s="4">
        <v>500</v>
      </c>
      <c r="H87" s="4">
        <f t="shared" ref="H87:R88" si="20">$G87</f>
        <v>500</v>
      </c>
      <c r="I87" s="4">
        <f t="shared" si="20"/>
        <v>500</v>
      </c>
      <c r="J87" s="4">
        <f t="shared" si="20"/>
        <v>500</v>
      </c>
      <c r="K87" s="4">
        <f t="shared" si="20"/>
        <v>500</v>
      </c>
      <c r="L87" s="4"/>
      <c r="M87" s="4"/>
      <c r="N87" s="4">
        <f t="shared" si="20"/>
        <v>500</v>
      </c>
      <c r="O87" s="4">
        <f t="shared" si="20"/>
        <v>500</v>
      </c>
      <c r="P87" s="4">
        <f t="shared" si="20"/>
        <v>500</v>
      </c>
      <c r="Q87" s="4">
        <f t="shared" si="20"/>
        <v>500</v>
      </c>
      <c r="R87" s="4">
        <f t="shared" si="20"/>
        <v>500</v>
      </c>
    </row>
    <row r="88" spans="1:18" x14ac:dyDescent="0.25">
      <c r="A88" s="30" t="s">
        <v>43</v>
      </c>
      <c r="B88" s="4" t="str">
        <f t="shared" si="19"/>
        <v>7790 - Andre kostnader</v>
      </c>
      <c r="C88" s="4"/>
      <c r="D88" s="3">
        <v>2000</v>
      </c>
      <c r="E88" s="3"/>
      <c r="F88" s="3"/>
      <c r="G88" s="4">
        <v>200</v>
      </c>
      <c r="H88" s="4">
        <f t="shared" si="20"/>
        <v>200</v>
      </c>
      <c r="I88" s="4">
        <f t="shared" si="20"/>
        <v>200</v>
      </c>
      <c r="J88" s="4">
        <f t="shared" si="20"/>
        <v>200</v>
      </c>
      <c r="K88" s="4">
        <f t="shared" si="20"/>
        <v>200</v>
      </c>
      <c r="L88" s="4"/>
      <c r="M88" s="4"/>
      <c r="N88" s="4">
        <f t="shared" si="20"/>
        <v>200</v>
      </c>
      <c r="O88" s="4">
        <f t="shared" si="20"/>
        <v>200</v>
      </c>
      <c r="P88" s="4">
        <f t="shared" si="20"/>
        <v>200</v>
      </c>
      <c r="Q88" s="4">
        <f t="shared" si="20"/>
        <v>200</v>
      </c>
      <c r="R88" s="4">
        <f t="shared" si="20"/>
        <v>200</v>
      </c>
    </row>
    <row r="89" spans="1:18" x14ac:dyDescent="0.25">
      <c r="A89" s="30" t="s">
        <v>63</v>
      </c>
      <c r="B89" s="4" t="str">
        <f t="shared" si="19"/>
        <v>Sum annen driftskostnad</v>
      </c>
      <c r="C89" s="4"/>
      <c r="E89" s="3">
        <f>SUM(D66:D88)</f>
        <v>214930</v>
      </c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30" t="s">
        <v>64</v>
      </c>
      <c r="B90" s="4" t="str">
        <f t="shared" si="19"/>
        <v>Sum driftskostnader</v>
      </c>
      <c r="C90" s="4"/>
      <c r="E90" s="3"/>
      <c r="F90" s="3">
        <f>E89+E63+E51</f>
        <v>2064026.4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B91" s="4">
        <f t="shared" si="19"/>
        <v>0</v>
      </c>
      <c r="C91" s="4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30" t="s">
        <v>65</v>
      </c>
      <c r="B92" s="4" t="str">
        <f t="shared" si="19"/>
        <v>Sum driftsresultat</v>
      </c>
      <c r="C92" s="4"/>
      <c r="E92" s="3"/>
      <c r="F92" s="3">
        <f>F90+F33</f>
        <v>-64973.600000000093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30" t="s">
        <v>54</v>
      </c>
      <c r="B93" s="4" t="str">
        <f t="shared" si="19"/>
        <v/>
      </c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30" t="s">
        <v>66</v>
      </c>
      <c r="B94" s="4" t="str">
        <f t="shared" si="19"/>
        <v>Annen renteinntekt</v>
      </c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30" t="s">
        <v>44</v>
      </c>
      <c r="B95" s="4" t="str">
        <f t="shared" si="19"/>
        <v>8050 - Annen renteinntekt</v>
      </c>
      <c r="C95" s="4"/>
      <c r="D95" s="3">
        <f>SUM(G95:R95)</f>
        <v>0</v>
      </c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>
        <v>0</v>
      </c>
    </row>
    <row r="96" spans="1:18" x14ac:dyDescent="0.25">
      <c r="A96" s="30" t="s">
        <v>67</v>
      </c>
      <c r="B96" s="4" t="str">
        <f t="shared" si="19"/>
        <v>Sum annen renteinntekt</v>
      </c>
      <c r="C96" s="4"/>
      <c r="E96" s="3">
        <f>D95</f>
        <v>0</v>
      </c>
      <c r="F96" s="3">
        <f>E96</f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B97" s="4">
        <f t="shared" si="19"/>
        <v>0</v>
      </c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30" t="s">
        <v>69</v>
      </c>
      <c r="B98" s="4" t="str">
        <f t="shared" si="19"/>
        <v>Annen rentekostnad</v>
      </c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30" t="s">
        <v>45</v>
      </c>
      <c r="B99" s="4" t="str">
        <f t="shared" si="19"/>
        <v>8150 - Annen rentekostnad</v>
      </c>
      <c r="C99" s="4"/>
      <c r="D99" s="3">
        <f>SUM(G99:R99)</f>
        <v>0</v>
      </c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>
        <v>0</v>
      </c>
    </row>
    <row r="100" spans="1:18" x14ac:dyDescent="0.25">
      <c r="A100" s="30" t="s">
        <v>70</v>
      </c>
      <c r="B100" s="4" t="str">
        <f t="shared" si="19"/>
        <v>Sum annen rentekostnad</v>
      </c>
      <c r="C100" s="4"/>
      <c r="E100" s="3">
        <f>D99</f>
        <v>0</v>
      </c>
      <c r="F100" s="3">
        <f>E100</f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B101" s="4">
        <f t="shared" si="19"/>
        <v>0</v>
      </c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30" t="s">
        <v>68</v>
      </c>
      <c r="B102" s="4" t="str">
        <f t="shared" si="19"/>
        <v>Driftsresultat</v>
      </c>
      <c r="C102" s="4"/>
      <c r="E102" s="3"/>
      <c r="F102" s="3">
        <f>SUM(F92:F100)</f>
        <v>-64973.600000000093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B103" s="4"/>
      <c r="D103" s="3"/>
      <c r="E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D104" s="3"/>
      <c r="E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</sheetData>
  <conditionalFormatting sqref="D1:D14 D16:D1048572">
    <cfRule type="expression" dxfId="3" priority="2">
      <formula>AND(D1&lt;&gt;"",D1=SUM(G1:R1))</formula>
    </cfRule>
  </conditionalFormatting>
  <conditionalFormatting sqref="B9:B102">
    <cfRule type="expression" dxfId="2" priority="1">
      <formula>A9&lt;&gt;B9</formula>
    </cfRule>
  </conditionalFormatting>
  <conditionalFormatting sqref="D15">
    <cfRule type="expression" dxfId="1" priority="3">
      <formula>AND(D15&lt;&gt;"",D15=SUM(H15:R15))</formula>
    </cfRule>
  </conditionalFormatting>
  <conditionalFormatting sqref="D1048573:D1048576">
    <cfRule type="expression" dxfId="0" priority="4">
      <formula>AND(D1048573&lt;&gt;"",D1048573=SUM(G1048573:R1048574))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4"/>
  <sheetViews>
    <sheetView topLeftCell="D1" workbookViewId="0">
      <selection activeCell="M13" sqref="M13"/>
    </sheetView>
  </sheetViews>
  <sheetFormatPr defaultColWidth="9.140625" defaultRowHeight="15" x14ac:dyDescent="0.25"/>
  <cols>
    <col min="1" max="1" width="38.85546875" bestFit="1" customWidth="1"/>
    <col min="2" max="4" width="39.140625" bestFit="1" customWidth="1"/>
    <col min="5" max="5" width="39.140625" customWidth="1"/>
    <col min="7" max="7" width="12.85546875" bestFit="1" customWidth="1"/>
    <col min="11" max="11" width="10.5703125" bestFit="1" customWidth="1"/>
    <col min="12" max="12" width="9.5703125" bestFit="1" customWidth="1"/>
    <col min="13" max="13" width="13.140625" customWidth="1"/>
  </cols>
  <sheetData>
    <row r="1" spans="1:13" x14ac:dyDescent="0.25">
      <c r="A1" t="e">
        <f>#REF!</f>
        <v>#REF!</v>
      </c>
      <c r="B1" t="e">
        <f>#REF!</f>
        <v>#REF!</v>
      </c>
      <c r="C1" t="e">
        <f t="shared" ref="C1:C17" si="0">IF(A1=B1,B1,IF(A1=0,B1,IF(B1=0,A1,B1)))</f>
        <v>#REF!</v>
      </c>
      <c r="D1" t="e">
        <f>IF(C1=0,"",C1)</f>
        <v>#REF!</v>
      </c>
      <c r="F1" t="e">
        <f>#REF!</f>
        <v>#REF!</v>
      </c>
      <c r="G1" t="e">
        <f>#REF!</f>
        <v>#REF!</v>
      </c>
      <c r="K1" t="s">
        <v>103</v>
      </c>
      <c r="L1" t="e">
        <f>F1</f>
        <v>#REF!</v>
      </c>
      <c r="M1" t="e">
        <f>G1</f>
        <v>#REF!</v>
      </c>
    </row>
    <row r="2" spans="1:13" x14ac:dyDescent="0.25">
      <c r="A2" t="e">
        <f>#REF!</f>
        <v>#REF!</v>
      </c>
      <c r="B2" t="e">
        <f>#REF!</f>
        <v>#REF!</v>
      </c>
      <c r="C2" t="e">
        <f t="shared" si="0"/>
        <v>#REF!</v>
      </c>
      <c r="D2" t="e">
        <f t="shared" ref="D2:D65" si="1">IF(C2=0,"",C2)</f>
        <v>#REF!</v>
      </c>
      <c r="F2" s="4">
        <f>IFERROR(ABS(#REF!),0)</f>
        <v>0</v>
      </c>
      <c r="G2" s="4" t="e">
        <f>ABS(#REF!)</f>
        <v>#REF!</v>
      </c>
      <c r="I2" t="s">
        <v>48</v>
      </c>
      <c r="K2" s="4" t="e">
        <f>#REF!</f>
        <v>#REF!</v>
      </c>
      <c r="L2" s="4">
        <f>-F13</f>
        <v>0</v>
      </c>
      <c r="M2" s="4" t="e">
        <f>-G13</f>
        <v>#REF!</v>
      </c>
    </row>
    <row r="3" spans="1:13" x14ac:dyDescent="0.25">
      <c r="A3" t="e">
        <f>#REF!</f>
        <v>#REF!</v>
      </c>
      <c r="B3" t="e">
        <f>#REF!</f>
        <v>#REF!</v>
      </c>
      <c r="C3" t="e">
        <f t="shared" si="0"/>
        <v>#REF!</v>
      </c>
      <c r="D3" t="e">
        <f t="shared" si="1"/>
        <v>#REF!</v>
      </c>
      <c r="F3" s="4">
        <f>IFERROR(ABS(#REF!),0)</f>
        <v>0</v>
      </c>
      <c r="G3" s="4" t="e">
        <f>ABS(#REF!)</f>
        <v>#REF!</v>
      </c>
      <c r="I3" t="s">
        <v>51</v>
      </c>
      <c r="K3" s="4" t="e">
        <f>#REF!</f>
        <v>#REF!</v>
      </c>
      <c r="L3" s="4">
        <f>-F24</f>
        <v>0</v>
      </c>
      <c r="M3" s="4" t="e">
        <f>-G24</f>
        <v>#REF!</v>
      </c>
    </row>
    <row r="4" spans="1:13" x14ac:dyDescent="0.25">
      <c r="A4" t="e">
        <f>#REF!</f>
        <v>#REF!</v>
      </c>
      <c r="B4" t="e">
        <f>#REF!</f>
        <v>#REF!</v>
      </c>
      <c r="C4" t="e">
        <f t="shared" si="0"/>
        <v>#REF!</v>
      </c>
      <c r="D4" t="e">
        <f t="shared" si="1"/>
        <v>#REF!</v>
      </c>
      <c r="F4" s="4">
        <f>IFERROR(ABS(#REF!),0)</f>
        <v>0</v>
      </c>
      <c r="G4" s="4" t="e">
        <f>ABS(#REF!)</f>
        <v>#REF!</v>
      </c>
      <c r="I4" t="s">
        <v>97</v>
      </c>
      <c r="K4" s="4" t="e">
        <f>#REF!</f>
        <v>#REF!</v>
      </c>
      <c r="L4" s="4">
        <f>-F25</f>
        <v>0</v>
      </c>
      <c r="M4" s="4" t="e">
        <f>-G25</f>
        <v>#REF!</v>
      </c>
    </row>
    <row r="5" spans="1:13" x14ac:dyDescent="0.25">
      <c r="A5" t="e">
        <f>#REF!</f>
        <v>#REF!</v>
      </c>
      <c r="B5" t="e">
        <f>#REF!</f>
        <v>#REF!</v>
      </c>
      <c r="C5" t="e">
        <f t="shared" si="0"/>
        <v>#REF!</v>
      </c>
      <c r="D5" t="e">
        <f t="shared" si="1"/>
        <v>#REF!</v>
      </c>
      <c r="F5" s="4">
        <f>IFERROR(ABS(#REF!),0)</f>
        <v>0</v>
      </c>
      <c r="G5" s="4" t="e">
        <f>ABS(#REF!)</f>
        <v>#REF!</v>
      </c>
      <c r="I5" t="e">
        <f>D27</f>
        <v>#REF!</v>
      </c>
      <c r="K5" s="4" t="e">
        <f>#REF!</f>
        <v>#REF!</v>
      </c>
      <c r="L5">
        <f>F44</f>
        <v>0</v>
      </c>
      <c r="M5" t="e">
        <f>G44</f>
        <v>#REF!</v>
      </c>
    </row>
    <row r="6" spans="1:13" x14ac:dyDescent="0.25">
      <c r="A6" t="e">
        <f>#REF!</f>
        <v>#REF!</v>
      </c>
      <c r="B6" t="e">
        <f>#REF!</f>
        <v>#REF!</v>
      </c>
      <c r="C6" t="e">
        <f t="shared" si="0"/>
        <v>#REF!</v>
      </c>
      <c r="D6" t="e">
        <f t="shared" si="1"/>
        <v>#REF!</v>
      </c>
      <c r="F6" s="4">
        <f>IFERROR(ABS(#REF!),0)</f>
        <v>0</v>
      </c>
      <c r="G6" s="4" t="e">
        <f>ABS(#REF!)</f>
        <v>#REF!</v>
      </c>
      <c r="I6" t="e">
        <f>D47</f>
        <v>#REF!</v>
      </c>
      <c r="K6" s="4" t="e">
        <f>#REF!</f>
        <v>#REF!</v>
      </c>
      <c r="L6" s="4">
        <f>F55</f>
        <v>0</v>
      </c>
      <c r="M6" s="4" t="e">
        <f>G55</f>
        <v>#REF!</v>
      </c>
    </row>
    <row r="7" spans="1:13" x14ac:dyDescent="0.25">
      <c r="A7" t="e">
        <f>#REF!</f>
        <v>#REF!</v>
      </c>
      <c r="B7" t="e">
        <f>#REF!</f>
        <v>#REF!</v>
      </c>
      <c r="C7" t="e">
        <f t="shared" si="0"/>
        <v>#REF!</v>
      </c>
      <c r="D7" t="e">
        <f t="shared" si="1"/>
        <v>#REF!</v>
      </c>
      <c r="F7" s="4">
        <f>IFERROR(ABS(#REF!),0)</f>
        <v>0</v>
      </c>
      <c r="G7" s="4" t="e">
        <f>ABS(#REF!)</f>
        <v>#REF!</v>
      </c>
      <c r="I7" t="e">
        <f>D57</f>
        <v>#REF!</v>
      </c>
      <c r="K7" s="4" t="e">
        <f>#REF!</f>
        <v>#REF!</v>
      </c>
      <c r="L7" s="4">
        <f>F81</f>
        <v>0</v>
      </c>
      <c r="M7" s="4" t="e">
        <f>G81</f>
        <v>#REF!</v>
      </c>
    </row>
    <row r="8" spans="1:13" x14ac:dyDescent="0.25">
      <c r="A8" t="e">
        <f>#REF!</f>
        <v>#REF!</v>
      </c>
      <c r="B8" t="e">
        <f>#REF!</f>
        <v>#REF!</v>
      </c>
      <c r="C8" t="e">
        <f t="shared" si="0"/>
        <v>#REF!</v>
      </c>
      <c r="D8" t="e">
        <f t="shared" si="1"/>
        <v>#REF!</v>
      </c>
      <c r="F8" s="4">
        <f>IFERROR(ABS(#REF!),0)</f>
        <v>0</v>
      </c>
      <c r="G8" s="4" t="e">
        <f>ABS(#REF!)</f>
        <v>#REF!</v>
      </c>
      <c r="I8" t="e">
        <f>D84</f>
        <v>#REF!</v>
      </c>
      <c r="K8" s="4" t="e">
        <f>#REF!</f>
        <v>#REF!</v>
      </c>
      <c r="L8" s="4">
        <f>F84</f>
        <v>0</v>
      </c>
      <c r="M8" s="4" t="e">
        <f>G84</f>
        <v>#REF!</v>
      </c>
    </row>
    <row r="9" spans="1:13" x14ac:dyDescent="0.25">
      <c r="A9" t="e">
        <f>#REF!</f>
        <v>#REF!</v>
      </c>
      <c r="B9" t="e">
        <f>#REF!</f>
        <v>#REF!</v>
      </c>
      <c r="C9" t="e">
        <f t="shared" si="0"/>
        <v>#REF!</v>
      </c>
      <c r="D9" t="e">
        <f t="shared" si="1"/>
        <v>#REF!</v>
      </c>
      <c r="F9" s="4">
        <f>IFERROR(ABS(#REF!),0)</f>
        <v>0</v>
      </c>
      <c r="G9" s="4" t="e">
        <f>ABS(#REF!)</f>
        <v>#REF!</v>
      </c>
    </row>
    <row r="10" spans="1:13" x14ac:dyDescent="0.25">
      <c r="A10" t="e">
        <f>#REF!</f>
        <v>#REF!</v>
      </c>
      <c r="B10" t="e">
        <f>#REF!</f>
        <v>#REF!</v>
      </c>
      <c r="C10" t="e">
        <f t="shared" si="0"/>
        <v>#REF!</v>
      </c>
      <c r="D10" t="e">
        <f t="shared" si="1"/>
        <v>#REF!</v>
      </c>
      <c r="F10" s="4">
        <f>IFERROR(ABS(#REF!),0)</f>
        <v>0</v>
      </c>
      <c r="G10" s="4" t="e">
        <f>ABS(#REF!)</f>
        <v>#REF!</v>
      </c>
    </row>
    <row r="11" spans="1:13" x14ac:dyDescent="0.25">
      <c r="A11" t="e">
        <f>#REF!</f>
        <v>#REF!</v>
      </c>
      <c r="B11" t="e">
        <f>#REF!</f>
        <v>#REF!</v>
      </c>
      <c r="C11" t="e">
        <f t="shared" si="0"/>
        <v>#REF!</v>
      </c>
      <c r="D11" t="e">
        <f t="shared" si="1"/>
        <v>#REF!</v>
      </c>
      <c r="F11" s="4">
        <f>IFERROR(ABS(#REF!),0)</f>
        <v>0</v>
      </c>
      <c r="G11" s="4" t="e">
        <f>ABS(#REF!)</f>
        <v>#REF!</v>
      </c>
    </row>
    <row r="12" spans="1:13" x14ac:dyDescent="0.25">
      <c r="A12" t="e">
        <f>#REF!</f>
        <v>#REF!</v>
      </c>
      <c r="B12" t="e">
        <f>#REF!</f>
        <v>#REF!</v>
      </c>
      <c r="C12" t="e">
        <f t="shared" si="0"/>
        <v>#REF!</v>
      </c>
      <c r="D12" t="e">
        <f t="shared" si="1"/>
        <v>#REF!</v>
      </c>
      <c r="F12" s="4">
        <f>IFERROR(ABS(#REF!),0)</f>
        <v>0</v>
      </c>
      <c r="G12" s="4" t="e">
        <f>ABS(#REF!)</f>
        <v>#REF!</v>
      </c>
    </row>
    <row r="13" spans="1:13" x14ac:dyDescent="0.25">
      <c r="A13" t="e">
        <f>#REF!</f>
        <v>#REF!</v>
      </c>
      <c r="B13" t="e">
        <f>#REF!</f>
        <v>#REF!</v>
      </c>
      <c r="C13" t="e">
        <f t="shared" si="0"/>
        <v>#REF!</v>
      </c>
      <c r="D13" t="e">
        <f t="shared" si="1"/>
        <v>#REF!</v>
      </c>
      <c r="F13" s="4">
        <f>IFERROR(ABS(#REF!),0)</f>
        <v>0</v>
      </c>
      <c r="G13" s="4" t="e">
        <f>ABS(#REF!)</f>
        <v>#REF!</v>
      </c>
    </row>
    <row r="14" spans="1:13" x14ac:dyDescent="0.25">
      <c r="A14" t="e">
        <f>#REF!</f>
        <v>#REF!</v>
      </c>
      <c r="B14" t="e">
        <f>#REF!</f>
        <v>#REF!</v>
      </c>
      <c r="C14" t="e">
        <f t="shared" si="0"/>
        <v>#REF!</v>
      </c>
      <c r="D14" t="e">
        <f t="shared" si="1"/>
        <v>#REF!</v>
      </c>
      <c r="F14" s="4">
        <f>IFERROR(ABS(#REF!),0)</f>
        <v>0</v>
      </c>
      <c r="G14" s="4" t="e">
        <f>ABS(#REF!)</f>
        <v>#REF!</v>
      </c>
    </row>
    <row r="15" spans="1:13" x14ac:dyDescent="0.25">
      <c r="A15" t="e">
        <f>#REF!</f>
        <v>#REF!</v>
      </c>
      <c r="B15" t="e">
        <f>#REF!</f>
        <v>#REF!</v>
      </c>
      <c r="C15" t="e">
        <f t="shared" si="0"/>
        <v>#REF!</v>
      </c>
      <c r="D15" t="e">
        <f t="shared" si="1"/>
        <v>#REF!</v>
      </c>
      <c r="F15" s="4" t="e">
        <f>F$1</f>
        <v>#REF!</v>
      </c>
      <c r="G15" s="4" t="e">
        <f>G$1</f>
        <v>#REF!</v>
      </c>
    </row>
    <row r="16" spans="1:13" x14ac:dyDescent="0.25">
      <c r="A16" t="e">
        <f>#REF!</f>
        <v>#REF!</v>
      </c>
      <c r="B16" t="e">
        <f>#REF!</f>
        <v>#REF!</v>
      </c>
      <c r="C16" t="e">
        <f t="shared" si="0"/>
        <v>#REF!</v>
      </c>
      <c r="D16" t="e">
        <f t="shared" si="1"/>
        <v>#REF!</v>
      </c>
      <c r="F16" s="4">
        <f>IFERROR(ABS(#REF!),0)</f>
        <v>0</v>
      </c>
      <c r="G16" s="4" t="e">
        <f>ABS(#REF!)</f>
        <v>#REF!</v>
      </c>
    </row>
    <row r="17" spans="1:7" x14ac:dyDescent="0.25">
      <c r="A17" t="e">
        <f>#REF!</f>
        <v>#REF!</v>
      </c>
      <c r="B17" t="e">
        <f>#REF!</f>
        <v>#REF!</v>
      </c>
      <c r="C17" t="e">
        <f t="shared" si="0"/>
        <v>#REF!</v>
      </c>
      <c r="D17" t="e">
        <f t="shared" si="1"/>
        <v>#REF!</v>
      </c>
      <c r="F17" s="4">
        <f>IFERROR(ABS(#REF!),0)</f>
        <v>0</v>
      </c>
      <c r="G17" s="4" t="e">
        <f>ABS(#REF!)</f>
        <v>#REF!</v>
      </c>
    </row>
    <row r="18" spans="1:7" x14ac:dyDescent="0.25">
      <c r="A18" t="e">
        <f>#REF!</f>
        <v>#REF!</v>
      </c>
      <c r="B18" t="e">
        <f>#REF!</f>
        <v>#REF!</v>
      </c>
      <c r="C18" t="e">
        <f t="shared" ref="C18:C81" si="2">IF(A18=B18,B18,IF(A18=0,B18,IF(B18=0,A18,B18)))</f>
        <v>#REF!</v>
      </c>
      <c r="D18" t="e">
        <f t="shared" si="1"/>
        <v>#REF!</v>
      </c>
      <c r="F18" s="4">
        <f>IFERROR(ABS(#REF!),0)</f>
        <v>0</v>
      </c>
      <c r="G18" s="4" t="e">
        <f>ABS(#REF!)</f>
        <v>#REF!</v>
      </c>
    </row>
    <row r="19" spans="1:7" x14ac:dyDescent="0.25">
      <c r="A19" t="e">
        <f>#REF!</f>
        <v>#REF!</v>
      </c>
      <c r="B19" t="e">
        <f>#REF!</f>
        <v>#REF!</v>
      </c>
      <c r="C19" t="e">
        <f t="shared" si="2"/>
        <v>#REF!</v>
      </c>
      <c r="D19" t="e">
        <f t="shared" si="1"/>
        <v>#REF!</v>
      </c>
      <c r="F19" s="4">
        <f>IFERROR(ABS(#REF!),0)</f>
        <v>0</v>
      </c>
      <c r="G19" s="4" t="e">
        <f>ABS(#REF!)</f>
        <v>#REF!</v>
      </c>
    </row>
    <row r="20" spans="1:7" x14ac:dyDescent="0.25">
      <c r="A20" t="e">
        <f>#REF!</f>
        <v>#REF!</v>
      </c>
      <c r="B20" t="e">
        <f>#REF!</f>
        <v>#REF!</v>
      </c>
      <c r="C20" t="e">
        <f t="shared" si="2"/>
        <v>#REF!</v>
      </c>
      <c r="D20" t="e">
        <f t="shared" si="1"/>
        <v>#REF!</v>
      </c>
      <c r="F20" s="4">
        <f>IFERROR(ABS(#REF!),0)</f>
        <v>0</v>
      </c>
      <c r="G20" s="4" t="e">
        <f>ABS(#REF!)</f>
        <v>#REF!</v>
      </c>
    </row>
    <row r="21" spans="1:7" x14ac:dyDescent="0.25">
      <c r="A21" t="e">
        <f>#REF!</f>
        <v>#REF!</v>
      </c>
      <c r="B21" t="e">
        <f>#REF!</f>
        <v>#REF!</v>
      </c>
      <c r="C21" t="e">
        <f t="shared" si="2"/>
        <v>#REF!</v>
      </c>
      <c r="D21" t="e">
        <f t="shared" si="1"/>
        <v>#REF!</v>
      </c>
      <c r="F21" s="4">
        <f>IFERROR(ABS(#REF!),0)</f>
        <v>0</v>
      </c>
      <c r="G21" s="4" t="e">
        <f>ABS(#REF!)</f>
        <v>#REF!</v>
      </c>
    </row>
    <row r="22" spans="1:7" x14ac:dyDescent="0.25">
      <c r="A22" t="e">
        <f>#REF!</f>
        <v>#REF!</v>
      </c>
      <c r="B22" t="e">
        <f>#REF!</f>
        <v>#REF!</v>
      </c>
      <c r="C22" t="e">
        <f t="shared" si="2"/>
        <v>#REF!</v>
      </c>
      <c r="D22" t="e">
        <f t="shared" si="1"/>
        <v>#REF!</v>
      </c>
      <c r="F22" s="4">
        <f>IFERROR(ABS(#REF!),0)</f>
        <v>0</v>
      </c>
      <c r="G22" s="4" t="e">
        <f>ABS(#REF!)</f>
        <v>#REF!</v>
      </c>
    </row>
    <row r="23" spans="1:7" x14ac:dyDescent="0.25">
      <c r="A23" t="e">
        <f>#REF!</f>
        <v>#REF!</v>
      </c>
      <c r="B23" t="e">
        <f>#REF!</f>
        <v>#REF!</v>
      </c>
      <c r="C23" t="e">
        <f t="shared" si="2"/>
        <v>#REF!</v>
      </c>
      <c r="D23" t="e">
        <f t="shared" si="1"/>
        <v>#REF!</v>
      </c>
      <c r="F23" s="4">
        <f>IFERROR(ABS(#REF!),0)</f>
        <v>0</v>
      </c>
      <c r="G23" s="4" t="e">
        <f>ABS(#REF!)</f>
        <v>#REF!</v>
      </c>
    </row>
    <row r="24" spans="1:7" x14ac:dyDescent="0.25">
      <c r="A24" t="e">
        <f>#REF!</f>
        <v>#REF!</v>
      </c>
      <c r="B24" t="e">
        <f>#REF!</f>
        <v>#REF!</v>
      </c>
      <c r="C24" t="e">
        <f t="shared" si="2"/>
        <v>#REF!</v>
      </c>
      <c r="D24" t="e">
        <f t="shared" si="1"/>
        <v>#REF!</v>
      </c>
      <c r="F24" s="4">
        <f>IFERROR(ABS(#REF!),0)</f>
        <v>0</v>
      </c>
      <c r="G24" s="4" t="e">
        <f>ABS(#REF!)</f>
        <v>#REF!</v>
      </c>
    </row>
    <row r="25" spans="1:7" x14ac:dyDescent="0.25">
      <c r="A25" t="e">
        <f>#REF!</f>
        <v>#REF!</v>
      </c>
      <c r="B25" t="e">
        <f>#REF!</f>
        <v>#REF!</v>
      </c>
      <c r="C25" t="e">
        <f t="shared" si="2"/>
        <v>#REF!</v>
      </c>
      <c r="D25" t="e">
        <f t="shared" si="1"/>
        <v>#REF!</v>
      </c>
      <c r="F25" s="4">
        <f>IFERROR(ABS(#REF!),0)</f>
        <v>0</v>
      </c>
      <c r="G25" s="4" t="e">
        <f>ABS(#REF!)</f>
        <v>#REF!</v>
      </c>
    </row>
    <row r="26" spans="1:7" x14ac:dyDescent="0.25">
      <c r="A26" t="e">
        <f>#REF!</f>
        <v>#REF!</v>
      </c>
      <c r="B26" t="e">
        <f>#REF!</f>
        <v>#REF!</v>
      </c>
      <c r="C26" t="e">
        <f t="shared" si="2"/>
        <v>#REF!</v>
      </c>
      <c r="D26" t="e">
        <f t="shared" si="1"/>
        <v>#REF!</v>
      </c>
      <c r="F26" s="4">
        <f>IFERROR(ABS(#REF!),0)</f>
        <v>0</v>
      </c>
      <c r="G26" s="4" t="e">
        <f>ABS(#REF!)</f>
        <v>#REF!</v>
      </c>
    </row>
    <row r="27" spans="1:7" x14ac:dyDescent="0.25">
      <c r="A27" t="e">
        <f>#REF!</f>
        <v>#REF!</v>
      </c>
      <c r="B27" t="e">
        <f>#REF!</f>
        <v>#REF!</v>
      </c>
      <c r="C27" t="e">
        <f t="shared" si="2"/>
        <v>#REF!</v>
      </c>
      <c r="D27" t="e">
        <f t="shared" si="1"/>
        <v>#REF!</v>
      </c>
      <c r="F27" s="4" t="e">
        <f>F1</f>
        <v>#REF!</v>
      </c>
      <c r="G27" s="4" t="e">
        <f>G1</f>
        <v>#REF!</v>
      </c>
    </row>
    <row r="28" spans="1:7" x14ac:dyDescent="0.25">
      <c r="A28" t="e">
        <f>#REF!</f>
        <v>#REF!</v>
      </c>
      <c r="B28" t="e">
        <f>#REF!</f>
        <v>#REF!</v>
      </c>
      <c r="C28" t="e">
        <f t="shared" si="2"/>
        <v>#REF!</v>
      </c>
      <c r="D28" t="e">
        <f t="shared" si="1"/>
        <v>#REF!</v>
      </c>
      <c r="F28" s="4">
        <f>IFERROR(ABS(#REF!),0)</f>
        <v>0</v>
      </c>
      <c r="G28" s="4" t="e">
        <f>ABS(#REF!)</f>
        <v>#REF!</v>
      </c>
    </row>
    <row r="29" spans="1:7" x14ac:dyDescent="0.25">
      <c r="A29" t="e">
        <f>#REF!</f>
        <v>#REF!</v>
      </c>
      <c r="B29" t="e">
        <f>#REF!</f>
        <v>#REF!</v>
      </c>
      <c r="C29" t="e">
        <f t="shared" si="2"/>
        <v>#REF!</v>
      </c>
      <c r="D29" t="e">
        <f t="shared" si="1"/>
        <v>#REF!</v>
      </c>
      <c r="F29" s="4">
        <f>IFERROR(ABS(#REF!),0)</f>
        <v>0</v>
      </c>
      <c r="G29" s="4" t="e">
        <f>ABS(#REF!)</f>
        <v>#REF!</v>
      </c>
    </row>
    <row r="30" spans="1:7" x14ac:dyDescent="0.25">
      <c r="A30" t="e">
        <f>#REF!</f>
        <v>#REF!</v>
      </c>
      <c r="B30" t="e">
        <f>#REF!</f>
        <v>#REF!</v>
      </c>
      <c r="C30" t="e">
        <f t="shared" si="2"/>
        <v>#REF!</v>
      </c>
      <c r="D30" t="e">
        <f t="shared" si="1"/>
        <v>#REF!</v>
      </c>
      <c r="F30" s="4">
        <f>IFERROR(ABS(#REF!),0)</f>
        <v>0</v>
      </c>
      <c r="G30" s="4" t="e">
        <f>ABS(#REF!)</f>
        <v>#REF!</v>
      </c>
    </row>
    <row r="31" spans="1:7" x14ac:dyDescent="0.25">
      <c r="A31" t="e">
        <f>#REF!</f>
        <v>#REF!</v>
      </c>
      <c r="B31" t="e">
        <f>#REF!</f>
        <v>#REF!</v>
      </c>
      <c r="C31" t="e">
        <f t="shared" si="2"/>
        <v>#REF!</v>
      </c>
      <c r="D31" t="e">
        <f t="shared" si="1"/>
        <v>#REF!</v>
      </c>
      <c r="F31" s="4">
        <f>IFERROR(ABS(#REF!),0)</f>
        <v>0</v>
      </c>
      <c r="G31" s="4" t="e">
        <f>ABS(#REF!)</f>
        <v>#REF!</v>
      </c>
    </row>
    <row r="32" spans="1:7" x14ac:dyDescent="0.25">
      <c r="A32" t="e">
        <f>#REF!</f>
        <v>#REF!</v>
      </c>
      <c r="B32" t="e">
        <f>#REF!</f>
        <v>#REF!</v>
      </c>
      <c r="C32" t="e">
        <f t="shared" si="2"/>
        <v>#REF!</v>
      </c>
      <c r="D32" t="e">
        <f t="shared" si="1"/>
        <v>#REF!</v>
      </c>
      <c r="F32" s="4">
        <f>IFERROR(ABS(#REF!),0)</f>
        <v>0</v>
      </c>
      <c r="G32" s="4" t="e">
        <f>ABS(#REF!)</f>
        <v>#REF!</v>
      </c>
    </row>
    <row r="33" spans="1:7" x14ac:dyDescent="0.25">
      <c r="A33" t="e">
        <f>#REF!</f>
        <v>#REF!</v>
      </c>
      <c r="B33" t="e">
        <f>#REF!</f>
        <v>#REF!</v>
      </c>
      <c r="C33" t="e">
        <f t="shared" si="2"/>
        <v>#REF!</v>
      </c>
      <c r="D33" t="e">
        <f t="shared" si="1"/>
        <v>#REF!</v>
      </c>
      <c r="F33" s="4">
        <f>IFERROR(ABS(#REF!),0)</f>
        <v>0</v>
      </c>
      <c r="G33" s="4" t="e">
        <f>ABS(#REF!)</f>
        <v>#REF!</v>
      </c>
    </row>
    <row r="34" spans="1:7" x14ac:dyDescent="0.25">
      <c r="A34" t="e">
        <f>#REF!</f>
        <v>#REF!</v>
      </c>
      <c r="B34" t="e">
        <f>#REF!</f>
        <v>#REF!</v>
      </c>
      <c r="C34" t="e">
        <f t="shared" si="2"/>
        <v>#REF!</v>
      </c>
      <c r="D34" t="e">
        <f t="shared" si="1"/>
        <v>#REF!</v>
      </c>
      <c r="F34" s="4">
        <f>IFERROR(ABS(#REF!),0)</f>
        <v>0</v>
      </c>
      <c r="G34" s="4" t="e">
        <f>ABS(#REF!)</f>
        <v>#REF!</v>
      </c>
    </row>
    <row r="35" spans="1:7" x14ac:dyDescent="0.25">
      <c r="A35" t="e">
        <f>#REF!</f>
        <v>#REF!</v>
      </c>
      <c r="B35" t="e">
        <f>#REF!</f>
        <v>#REF!</v>
      </c>
      <c r="C35" t="e">
        <f t="shared" si="2"/>
        <v>#REF!</v>
      </c>
      <c r="D35" t="e">
        <f t="shared" si="1"/>
        <v>#REF!</v>
      </c>
      <c r="F35" s="4">
        <f>IFERROR(ABS(#REF!),0)</f>
        <v>0</v>
      </c>
      <c r="G35" s="4" t="e">
        <f>ABS(#REF!)</f>
        <v>#REF!</v>
      </c>
    </row>
    <row r="36" spans="1:7" x14ac:dyDescent="0.25">
      <c r="A36" t="e">
        <f>#REF!</f>
        <v>#REF!</v>
      </c>
      <c r="B36" t="e">
        <f>#REF!</f>
        <v>#REF!</v>
      </c>
      <c r="C36" t="e">
        <f t="shared" si="2"/>
        <v>#REF!</v>
      </c>
      <c r="D36" t="e">
        <f t="shared" si="1"/>
        <v>#REF!</v>
      </c>
      <c r="F36" s="4">
        <f>IFERROR(ABS(#REF!),0)</f>
        <v>0</v>
      </c>
      <c r="G36" s="4" t="e">
        <f>ABS(#REF!)</f>
        <v>#REF!</v>
      </c>
    </row>
    <row r="37" spans="1:7" x14ac:dyDescent="0.25">
      <c r="A37" t="e">
        <f>#REF!</f>
        <v>#REF!</v>
      </c>
      <c r="B37" t="e">
        <f>#REF!</f>
        <v>#REF!</v>
      </c>
      <c r="C37" t="e">
        <f t="shared" si="2"/>
        <v>#REF!</v>
      </c>
      <c r="D37" t="e">
        <f t="shared" si="1"/>
        <v>#REF!</v>
      </c>
      <c r="F37" s="4">
        <f>IFERROR(ABS(#REF!),0)</f>
        <v>0</v>
      </c>
      <c r="G37" s="4" t="e">
        <f>ABS(#REF!)</f>
        <v>#REF!</v>
      </c>
    </row>
    <row r="38" spans="1:7" x14ac:dyDescent="0.25">
      <c r="A38" t="e">
        <f>#REF!</f>
        <v>#REF!</v>
      </c>
      <c r="B38" t="e">
        <f>#REF!</f>
        <v>#REF!</v>
      </c>
      <c r="C38" t="e">
        <f t="shared" si="2"/>
        <v>#REF!</v>
      </c>
      <c r="D38" t="e">
        <f t="shared" si="1"/>
        <v>#REF!</v>
      </c>
      <c r="F38" s="4">
        <f>IFERROR(ABS(#REF!),0)</f>
        <v>0</v>
      </c>
      <c r="G38" s="4" t="e">
        <f>ABS(#REF!)</f>
        <v>#REF!</v>
      </c>
    </row>
    <row r="39" spans="1:7" x14ac:dyDescent="0.25">
      <c r="A39" t="e">
        <f>#REF!</f>
        <v>#REF!</v>
      </c>
      <c r="B39" t="e">
        <f>#REF!</f>
        <v>#REF!</v>
      </c>
      <c r="C39" t="e">
        <f t="shared" si="2"/>
        <v>#REF!</v>
      </c>
      <c r="D39" t="e">
        <f t="shared" si="1"/>
        <v>#REF!</v>
      </c>
      <c r="F39" s="4">
        <f>IFERROR(ABS(#REF!),0)</f>
        <v>0</v>
      </c>
      <c r="G39" s="4" t="e">
        <f>ABS(#REF!)</f>
        <v>#REF!</v>
      </c>
    </row>
    <row r="40" spans="1:7" x14ac:dyDescent="0.25">
      <c r="A40" t="e">
        <f>#REF!</f>
        <v>#REF!</v>
      </c>
      <c r="B40" t="e">
        <f>#REF!</f>
        <v>#REF!</v>
      </c>
      <c r="C40" t="e">
        <f t="shared" si="2"/>
        <v>#REF!</v>
      </c>
      <c r="D40" t="e">
        <f t="shared" si="1"/>
        <v>#REF!</v>
      </c>
      <c r="F40" s="4">
        <f>IFERROR(ABS(#REF!),0)</f>
        <v>0</v>
      </c>
      <c r="G40" s="4" t="e">
        <f>ABS(#REF!)</f>
        <v>#REF!</v>
      </c>
    </row>
    <row r="41" spans="1:7" x14ac:dyDescent="0.25">
      <c r="A41" t="e">
        <f>#REF!</f>
        <v>#REF!</v>
      </c>
      <c r="B41" t="e">
        <f>#REF!</f>
        <v>#REF!</v>
      </c>
      <c r="C41" t="e">
        <f t="shared" si="2"/>
        <v>#REF!</v>
      </c>
      <c r="D41" t="e">
        <f t="shared" si="1"/>
        <v>#REF!</v>
      </c>
      <c r="F41" s="4">
        <f>IFERROR(ABS(#REF!),0)</f>
        <v>0</v>
      </c>
      <c r="G41" s="4" t="e">
        <f>ABS(#REF!)</f>
        <v>#REF!</v>
      </c>
    </row>
    <row r="42" spans="1:7" x14ac:dyDescent="0.25">
      <c r="A42" t="e">
        <f>#REF!</f>
        <v>#REF!</v>
      </c>
      <c r="B42" t="e">
        <f>#REF!</f>
        <v>#REF!</v>
      </c>
      <c r="C42" t="e">
        <f t="shared" si="2"/>
        <v>#REF!</v>
      </c>
      <c r="D42" t="e">
        <f t="shared" si="1"/>
        <v>#REF!</v>
      </c>
      <c r="F42" s="4">
        <f>IFERROR(ABS(#REF!),0)</f>
        <v>0</v>
      </c>
      <c r="G42" s="4" t="e">
        <f>ABS(#REF!)</f>
        <v>#REF!</v>
      </c>
    </row>
    <row r="43" spans="1:7" x14ac:dyDescent="0.25">
      <c r="A43" t="e">
        <f>#REF!</f>
        <v>#REF!</v>
      </c>
      <c r="B43" t="e">
        <f>#REF!</f>
        <v>#REF!</v>
      </c>
      <c r="C43" t="e">
        <f t="shared" si="2"/>
        <v>#REF!</v>
      </c>
      <c r="D43" t="e">
        <f t="shared" si="1"/>
        <v>#REF!</v>
      </c>
      <c r="F43" s="4">
        <f>IFERROR(ABS(#REF!),0)</f>
        <v>0</v>
      </c>
      <c r="G43" s="4" t="e">
        <f>ABS(#REF!)</f>
        <v>#REF!</v>
      </c>
    </row>
    <row r="44" spans="1:7" x14ac:dyDescent="0.25">
      <c r="A44" t="e">
        <f>#REF!</f>
        <v>#REF!</v>
      </c>
      <c r="B44" t="e">
        <f>#REF!</f>
        <v>#REF!</v>
      </c>
      <c r="C44" t="e">
        <f t="shared" si="2"/>
        <v>#REF!</v>
      </c>
      <c r="D44" t="e">
        <f t="shared" si="1"/>
        <v>#REF!</v>
      </c>
      <c r="F44" s="4">
        <f>IFERROR(ABS(#REF!),0)</f>
        <v>0</v>
      </c>
      <c r="G44" s="4" t="e">
        <f>ABS(#REF!)</f>
        <v>#REF!</v>
      </c>
    </row>
    <row r="45" spans="1:7" x14ac:dyDescent="0.25">
      <c r="A45" t="e">
        <f>#REF!</f>
        <v>#REF!</v>
      </c>
      <c r="B45" t="e">
        <f>#REF!</f>
        <v>#REF!</v>
      </c>
      <c r="C45" t="e">
        <f t="shared" si="2"/>
        <v>#REF!</v>
      </c>
    </row>
    <row r="46" spans="1:7" x14ac:dyDescent="0.25">
      <c r="A46" t="e">
        <f>#REF!</f>
        <v>#REF!</v>
      </c>
      <c r="B46" t="e">
        <f>#REF!</f>
        <v>#REF!</v>
      </c>
      <c r="C46" t="e">
        <f t="shared" si="2"/>
        <v>#REF!</v>
      </c>
    </row>
    <row r="47" spans="1:7" x14ac:dyDescent="0.25">
      <c r="A47" t="e">
        <f>#REF!</f>
        <v>#REF!</v>
      </c>
      <c r="B47" t="e">
        <f>#REF!</f>
        <v>#REF!</v>
      </c>
      <c r="C47" t="e">
        <f t="shared" si="2"/>
        <v>#REF!</v>
      </c>
      <c r="D47" t="e">
        <f t="shared" si="1"/>
        <v>#REF!</v>
      </c>
      <c r="F47" t="e">
        <f>F1</f>
        <v>#REF!</v>
      </c>
      <c r="G47" t="e">
        <f>G1</f>
        <v>#REF!</v>
      </c>
    </row>
    <row r="48" spans="1:7" x14ac:dyDescent="0.25">
      <c r="A48" t="e">
        <f>#REF!</f>
        <v>#REF!</v>
      </c>
      <c r="B48" t="e">
        <f>#REF!</f>
        <v>#REF!</v>
      </c>
      <c r="C48" t="e">
        <f t="shared" si="2"/>
        <v>#REF!</v>
      </c>
      <c r="D48" t="e">
        <f t="shared" si="1"/>
        <v>#REF!</v>
      </c>
      <c r="F48">
        <f>IFERROR(ABS(#REF!),0)</f>
        <v>0</v>
      </c>
      <c r="G48" t="e">
        <f>ABS(#REF!)</f>
        <v>#REF!</v>
      </c>
    </row>
    <row r="49" spans="1:7" x14ac:dyDescent="0.25">
      <c r="A49" t="e">
        <f>#REF!</f>
        <v>#REF!</v>
      </c>
      <c r="B49" t="e">
        <f>#REF!</f>
        <v>#REF!</v>
      </c>
      <c r="C49" t="e">
        <f t="shared" si="2"/>
        <v>#REF!</v>
      </c>
      <c r="D49" t="e">
        <f t="shared" si="1"/>
        <v>#REF!</v>
      </c>
      <c r="F49">
        <f>IFERROR(ABS(#REF!),0)</f>
        <v>0</v>
      </c>
      <c r="G49" t="e">
        <f>ABS(#REF!)</f>
        <v>#REF!</v>
      </c>
    </row>
    <row r="50" spans="1:7" x14ac:dyDescent="0.25">
      <c r="A50" t="e">
        <f>#REF!</f>
        <v>#REF!</v>
      </c>
      <c r="B50" t="e">
        <f>#REF!</f>
        <v>#REF!</v>
      </c>
      <c r="C50" t="e">
        <f t="shared" si="2"/>
        <v>#REF!</v>
      </c>
      <c r="D50" t="e">
        <f t="shared" si="1"/>
        <v>#REF!</v>
      </c>
      <c r="F50">
        <f>IFERROR(ABS(#REF!),0)</f>
        <v>0</v>
      </c>
      <c r="G50" t="e">
        <f>ABS(#REF!)</f>
        <v>#REF!</v>
      </c>
    </row>
    <row r="51" spans="1:7" x14ac:dyDescent="0.25">
      <c r="A51" t="e">
        <f>#REF!</f>
        <v>#REF!</v>
      </c>
      <c r="B51" t="e">
        <f>#REF!</f>
        <v>#REF!</v>
      </c>
      <c r="C51" t="e">
        <f t="shared" si="2"/>
        <v>#REF!</v>
      </c>
      <c r="D51" t="e">
        <f t="shared" si="1"/>
        <v>#REF!</v>
      </c>
      <c r="F51">
        <f>IFERROR(ABS(#REF!),0)</f>
        <v>0</v>
      </c>
      <c r="G51" t="e">
        <f>ABS(#REF!)</f>
        <v>#REF!</v>
      </c>
    </row>
    <row r="52" spans="1:7" x14ac:dyDescent="0.25">
      <c r="A52" t="e">
        <f>#REF!</f>
        <v>#REF!</v>
      </c>
      <c r="B52" t="e">
        <f>#REF!</f>
        <v>#REF!</v>
      </c>
      <c r="C52" t="e">
        <f t="shared" si="2"/>
        <v>#REF!</v>
      </c>
      <c r="D52" t="e">
        <f t="shared" si="1"/>
        <v>#REF!</v>
      </c>
      <c r="F52">
        <f>IFERROR(ABS(#REF!),0)</f>
        <v>0</v>
      </c>
      <c r="G52" t="e">
        <f>ABS(#REF!)</f>
        <v>#REF!</v>
      </c>
    </row>
    <row r="53" spans="1:7" x14ac:dyDescent="0.25">
      <c r="A53" t="e">
        <f>#REF!</f>
        <v>#REF!</v>
      </c>
      <c r="B53" t="e">
        <f>#REF!</f>
        <v>#REF!</v>
      </c>
      <c r="C53" t="e">
        <f t="shared" si="2"/>
        <v>#REF!</v>
      </c>
      <c r="D53" t="e">
        <f t="shared" si="1"/>
        <v>#REF!</v>
      </c>
      <c r="F53">
        <f>IFERROR(ABS(#REF!),0)</f>
        <v>0</v>
      </c>
      <c r="G53" t="e">
        <f>ABS(#REF!)</f>
        <v>#REF!</v>
      </c>
    </row>
    <row r="54" spans="1:7" x14ac:dyDescent="0.25">
      <c r="A54" t="e">
        <f>#REF!</f>
        <v>#REF!</v>
      </c>
      <c r="B54" t="e">
        <f>#REF!</f>
        <v>#REF!</v>
      </c>
      <c r="C54" t="e">
        <f t="shared" si="2"/>
        <v>#REF!</v>
      </c>
      <c r="D54" t="e">
        <f t="shared" si="1"/>
        <v>#REF!</v>
      </c>
      <c r="F54">
        <f>IFERROR(ABS(#REF!),0)</f>
        <v>0</v>
      </c>
      <c r="G54" t="e">
        <f>ABS(#REF!)</f>
        <v>#REF!</v>
      </c>
    </row>
    <row r="55" spans="1:7" x14ac:dyDescent="0.25">
      <c r="A55" t="e">
        <f>#REF!</f>
        <v>#REF!</v>
      </c>
      <c r="B55" t="e">
        <f>#REF!</f>
        <v>#REF!</v>
      </c>
      <c r="C55" t="e">
        <f t="shared" si="2"/>
        <v>#REF!</v>
      </c>
      <c r="D55" t="e">
        <f t="shared" si="1"/>
        <v>#REF!</v>
      </c>
      <c r="F55">
        <f>IFERROR(ABS(#REF!),0)</f>
        <v>0</v>
      </c>
      <c r="G55" t="e">
        <f>ABS(#REF!)</f>
        <v>#REF!</v>
      </c>
    </row>
    <row r="56" spans="1:7" x14ac:dyDescent="0.25">
      <c r="A56" t="e">
        <f>#REF!</f>
        <v>#REF!</v>
      </c>
      <c r="B56" t="e">
        <f>#REF!</f>
        <v>#REF!</v>
      </c>
      <c r="C56" t="e">
        <f t="shared" si="2"/>
        <v>#REF!</v>
      </c>
    </row>
    <row r="57" spans="1:7" x14ac:dyDescent="0.25">
      <c r="A57" t="e">
        <f>#REF!</f>
        <v>#REF!</v>
      </c>
      <c r="B57" t="e">
        <f>#REF!</f>
        <v>#REF!</v>
      </c>
      <c r="C57" t="e">
        <f t="shared" si="2"/>
        <v>#REF!</v>
      </c>
      <c r="D57" t="e">
        <f t="shared" si="1"/>
        <v>#REF!</v>
      </c>
      <c r="F57" t="e">
        <f>F1</f>
        <v>#REF!</v>
      </c>
      <c r="G57" t="e">
        <f>G1</f>
        <v>#REF!</v>
      </c>
    </row>
    <row r="58" spans="1:7" x14ac:dyDescent="0.25">
      <c r="A58" t="e">
        <f>#REF!</f>
        <v>#REF!</v>
      </c>
      <c r="B58" t="e">
        <f>#REF!</f>
        <v>#REF!</v>
      </c>
      <c r="C58" t="e">
        <f t="shared" si="2"/>
        <v>#REF!</v>
      </c>
      <c r="D58" t="e">
        <f t="shared" si="1"/>
        <v>#REF!</v>
      </c>
      <c r="F58">
        <f>IFERROR(ABS(#REF!),0)</f>
        <v>0</v>
      </c>
      <c r="G58" t="e">
        <f>ABS(#REF!)</f>
        <v>#REF!</v>
      </c>
    </row>
    <row r="59" spans="1:7" x14ac:dyDescent="0.25">
      <c r="A59" t="e">
        <f>#REF!</f>
        <v>#REF!</v>
      </c>
      <c r="B59" t="e">
        <f>#REF!</f>
        <v>#REF!</v>
      </c>
      <c r="C59" t="e">
        <f t="shared" si="2"/>
        <v>#REF!</v>
      </c>
      <c r="D59" t="e">
        <f t="shared" si="1"/>
        <v>#REF!</v>
      </c>
      <c r="F59">
        <f>IFERROR(ABS(#REF!),0)</f>
        <v>0</v>
      </c>
      <c r="G59" t="e">
        <f>ABS(#REF!)</f>
        <v>#REF!</v>
      </c>
    </row>
    <row r="60" spans="1:7" x14ac:dyDescent="0.25">
      <c r="A60" t="e">
        <f>#REF!</f>
        <v>#REF!</v>
      </c>
      <c r="B60" t="e">
        <f>#REF!</f>
        <v>#REF!</v>
      </c>
      <c r="C60" t="e">
        <f t="shared" si="2"/>
        <v>#REF!</v>
      </c>
      <c r="D60" t="e">
        <f t="shared" si="1"/>
        <v>#REF!</v>
      </c>
      <c r="F60">
        <f>IFERROR(ABS(#REF!),0)</f>
        <v>0</v>
      </c>
      <c r="G60" t="e">
        <f>ABS(#REF!)</f>
        <v>#REF!</v>
      </c>
    </row>
    <row r="61" spans="1:7" x14ac:dyDescent="0.25">
      <c r="A61" t="e">
        <f>#REF!</f>
        <v>#REF!</v>
      </c>
      <c r="B61" t="e">
        <f>#REF!</f>
        <v>#REF!</v>
      </c>
      <c r="C61" t="e">
        <f t="shared" si="2"/>
        <v>#REF!</v>
      </c>
      <c r="D61" t="e">
        <f t="shared" si="1"/>
        <v>#REF!</v>
      </c>
      <c r="F61">
        <f>IFERROR(ABS(#REF!),0)</f>
        <v>0</v>
      </c>
      <c r="G61" t="e">
        <f>ABS(#REF!)</f>
        <v>#REF!</v>
      </c>
    </row>
    <row r="62" spans="1:7" x14ac:dyDescent="0.25">
      <c r="A62" t="e">
        <f>#REF!</f>
        <v>#REF!</v>
      </c>
      <c r="B62" t="e">
        <f>#REF!</f>
        <v>#REF!</v>
      </c>
      <c r="C62" t="e">
        <f t="shared" si="2"/>
        <v>#REF!</v>
      </c>
      <c r="D62" t="e">
        <f t="shared" si="1"/>
        <v>#REF!</v>
      </c>
      <c r="F62">
        <f>IFERROR(ABS(#REF!),0)</f>
        <v>0</v>
      </c>
      <c r="G62" t="e">
        <f>ABS(#REF!)</f>
        <v>#REF!</v>
      </c>
    </row>
    <row r="63" spans="1:7" x14ac:dyDescent="0.25">
      <c r="A63" t="e">
        <f>#REF!</f>
        <v>#REF!</v>
      </c>
      <c r="B63" t="e">
        <f>#REF!</f>
        <v>#REF!</v>
      </c>
      <c r="C63" t="e">
        <f t="shared" si="2"/>
        <v>#REF!</v>
      </c>
      <c r="D63" t="e">
        <f t="shared" si="1"/>
        <v>#REF!</v>
      </c>
      <c r="F63">
        <f>IFERROR(ABS(#REF!),0)</f>
        <v>0</v>
      </c>
      <c r="G63" t="e">
        <f>ABS(#REF!)</f>
        <v>#REF!</v>
      </c>
    </row>
    <row r="64" spans="1:7" x14ac:dyDescent="0.25">
      <c r="A64" t="e">
        <f>#REF!</f>
        <v>#REF!</v>
      </c>
      <c r="B64" t="e">
        <f>#REF!</f>
        <v>#REF!</v>
      </c>
      <c r="C64" t="e">
        <f t="shared" si="2"/>
        <v>#REF!</v>
      </c>
      <c r="D64" t="e">
        <f t="shared" si="1"/>
        <v>#REF!</v>
      </c>
      <c r="F64">
        <f>IFERROR(ABS(#REF!),0)</f>
        <v>0</v>
      </c>
      <c r="G64" t="e">
        <f>ABS(#REF!)</f>
        <v>#REF!</v>
      </c>
    </row>
    <row r="65" spans="1:7" x14ac:dyDescent="0.25">
      <c r="A65" t="e">
        <f>#REF!</f>
        <v>#REF!</v>
      </c>
      <c r="B65" t="e">
        <f>#REF!</f>
        <v>#REF!</v>
      </c>
      <c r="C65" t="e">
        <f t="shared" si="2"/>
        <v>#REF!</v>
      </c>
      <c r="D65" t="e">
        <f t="shared" si="1"/>
        <v>#REF!</v>
      </c>
      <c r="F65">
        <f>IFERROR(ABS(#REF!),0)</f>
        <v>0</v>
      </c>
      <c r="G65" t="e">
        <f>ABS(#REF!)</f>
        <v>#REF!</v>
      </c>
    </row>
    <row r="66" spans="1:7" x14ac:dyDescent="0.25">
      <c r="A66" t="e">
        <f>#REF!</f>
        <v>#REF!</v>
      </c>
      <c r="B66" t="e">
        <f>#REF!</f>
        <v>#REF!</v>
      </c>
      <c r="C66" t="e">
        <f t="shared" si="2"/>
        <v>#REF!</v>
      </c>
      <c r="D66" t="e">
        <f t="shared" ref="D66:D94" si="3">IF(C66=0,"",C66)</f>
        <v>#REF!</v>
      </c>
      <c r="F66">
        <f>IFERROR(ABS(#REF!),0)</f>
        <v>0</v>
      </c>
      <c r="G66" t="e">
        <f>ABS(#REF!)</f>
        <v>#REF!</v>
      </c>
    </row>
    <row r="67" spans="1:7" x14ac:dyDescent="0.25">
      <c r="A67" t="e">
        <f>#REF!</f>
        <v>#REF!</v>
      </c>
      <c r="B67" t="e">
        <f>#REF!</f>
        <v>#REF!</v>
      </c>
      <c r="C67" t="e">
        <f t="shared" si="2"/>
        <v>#REF!</v>
      </c>
      <c r="D67" t="e">
        <f t="shared" si="3"/>
        <v>#REF!</v>
      </c>
      <c r="F67">
        <f>IFERROR(ABS(#REF!),0)</f>
        <v>0</v>
      </c>
      <c r="G67" t="e">
        <f>ABS(#REF!)</f>
        <v>#REF!</v>
      </c>
    </row>
    <row r="68" spans="1:7" x14ac:dyDescent="0.25">
      <c r="A68" t="e">
        <f>#REF!</f>
        <v>#REF!</v>
      </c>
      <c r="B68" t="e">
        <f>#REF!</f>
        <v>#REF!</v>
      </c>
      <c r="C68" t="e">
        <f t="shared" si="2"/>
        <v>#REF!</v>
      </c>
      <c r="D68" t="e">
        <f t="shared" si="3"/>
        <v>#REF!</v>
      </c>
      <c r="F68">
        <f>IFERROR(ABS(#REF!),0)</f>
        <v>0</v>
      </c>
      <c r="G68" t="e">
        <f>ABS(#REF!)</f>
        <v>#REF!</v>
      </c>
    </row>
    <row r="69" spans="1:7" x14ac:dyDescent="0.25">
      <c r="A69" t="e">
        <f>#REF!</f>
        <v>#REF!</v>
      </c>
      <c r="B69" t="e">
        <f>#REF!</f>
        <v>#REF!</v>
      </c>
      <c r="C69" t="e">
        <f t="shared" si="2"/>
        <v>#REF!</v>
      </c>
      <c r="D69" t="e">
        <f t="shared" si="3"/>
        <v>#REF!</v>
      </c>
      <c r="F69">
        <f>IFERROR(ABS(#REF!),0)</f>
        <v>0</v>
      </c>
      <c r="G69" t="e">
        <f>ABS(#REF!)</f>
        <v>#REF!</v>
      </c>
    </row>
    <row r="70" spans="1:7" x14ac:dyDescent="0.25">
      <c r="A70" t="e">
        <f>#REF!</f>
        <v>#REF!</v>
      </c>
      <c r="B70" t="e">
        <f>#REF!</f>
        <v>#REF!</v>
      </c>
      <c r="C70" t="e">
        <f t="shared" si="2"/>
        <v>#REF!</v>
      </c>
      <c r="D70" t="e">
        <f t="shared" si="3"/>
        <v>#REF!</v>
      </c>
      <c r="F70">
        <f>IFERROR(ABS(#REF!),0)</f>
        <v>0</v>
      </c>
      <c r="G70" t="e">
        <f>ABS(#REF!)</f>
        <v>#REF!</v>
      </c>
    </row>
    <row r="71" spans="1:7" x14ac:dyDescent="0.25">
      <c r="A71" t="e">
        <f>#REF!</f>
        <v>#REF!</v>
      </c>
      <c r="B71" t="e">
        <f>#REF!</f>
        <v>#REF!</v>
      </c>
      <c r="C71" t="e">
        <f t="shared" si="2"/>
        <v>#REF!</v>
      </c>
      <c r="D71" t="e">
        <f t="shared" si="3"/>
        <v>#REF!</v>
      </c>
      <c r="F71">
        <f>IFERROR(ABS(#REF!),0)</f>
        <v>0</v>
      </c>
      <c r="G71" t="e">
        <f>ABS(#REF!)</f>
        <v>#REF!</v>
      </c>
    </row>
    <row r="72" spans="1:7" x14ac:dyDescent="0.25">
      <c r="A72" t="e">
        <f>#REF!</f>
        <v>#REF!</v>
      </c>
      <c r="B72" t="e">
        <f>#REF!</f>
        <v>#REF!</v>
      </c>
      <c r="C72" t="e">
        <f t="shared" si="2"/>
        <v>#REF!</v>
      </c>
      <c r="D72" t="e">
        <f t="shared" si="3"/>
        <v>#REF!</v>
      </c>
      <c r="F72">
        <f>IFERROR(ABS(#REF!),0)</f>
        <v>0</v>
      </c>
      <c r="G72" t="e">
        <f>ABS(#REF!)</f>
        <v>#REF!</v>
      </c>
    </row>
    <row r="73" spans="1:7" x14ac:dyDescent="0.25">
      <c r="A73" t="e">
        <f>#REF!</f>
        <v>#REF!</v>
      </c>
      <c r="B73" t="e">
        <f>#REF!</f>
        <v>#REF!</v>
      </c>
      <c r="C73" t="e">
        <f t="shared" si="2"/>
        <v>#REF!</v>
      </c>
      <c r="D73" t="e">
        <f t="shared" si="3"/>
        <v>#REF!</v>
      </c>
      <c r="F73">
        <f>IFERROR(ABS(#REF!),0)</f>
        <v>0</v>
      </c>
      <c r="G73" t="e">
        <f>ABS(#REF!)</f>
        <v>#REF!</v>
      </c>
    </row>
    <row r="74" spans="1:7" x14ac:dyDescent="0.25">
      <c r="A74" t="e">
        <f>#REF!</f>
        <v>#REF!</v>
      </c>
      <c r="B74" t="e">
        <f>#REF!</f>
        <v>#REF!</v>
      </c>
      <c r="C74" t="e">
        <f t="shared" si="2"/>
        <v>#REF!</v>
      </c>
      <c r="D74" t="e">
        <f t="shared" si="3"/>
        <v>#REF!</v>
      </c>
      <c r="F74">
        <f>IFERROR(ABS(#REF!),0)</f>
        <v>0</v>
      </c>
      <c r="G74" t="e">
        <f>ABS(#REF!)</f>
        <v>#REF!</v>
      </c>
    </row>
    <row r="75" spans="1:7" x14ac:dyDescent="0.25">
      <c r="A75" t="e">
        <f>#REF!</f>
        <v>#REF!</v>
      </c>
      <c r="B75" t="e">
        <f>#REF!</f>
        <v>#REF!</v>
      </c>
      <c r="C75" t="e">
        <f t="shared" si="2"/>
        <v>#REF!</v>
      </c>
      <c r="D75" t="e">
        <f t="shared" si="3"/>
        <v>#REF!</v>
      </c>
      <c r="F75">
        <f>IFERROR(ABS(#REF!),0)</f>
        <v>0</v>
      </c>
      <c r="G75" t="e">
        <f>ABS(#REF!)</f>
        <v>#REF!</v>
      </c>
    </row>
    <row r="76" spans="1:7" x14ac:dyDescent="0.25">
      <c r="A76" t="e">
        <f>#REF!</f>
        <v>#REF!</v>
      </c>
      <c r="B76" t="e">
        <f>#REF!</f>
        <v>#REF!</v>
      </c>
      <c r="C76" t="e">
        <f t="shared" si="2"/>
        <v>#REF!</v>
      </c>
      <c r="D76" t="e">
        <f t="shared" si="3"/>
        <v>#REF!</v>
      </c>
      <c r="F76">
        <f>IFERROR(ABS(#REF!),0)</f>
        <v>0</v>
      </c>
      <c r="G76" t="e">
        <f>ABS(#REF!)</f>
        <v>#REF!</v>
      </c>
    </row>
    <row r="77" spans="1:7" x14ac:dyDescent="0.25">
      <c r="A77" t="e">
        <f>#REF!</f>
        <v>#REF!</v>
      </c>
      <c r="B77" t="e">
        <f>#REF!</f>
        <v>#REF!</v>
      </c>
      <c r="C77" t="e">
        <f t="shared" si="2"/>
        <v>#REF!</v>
      </c>
      <c r="D77" t="e">
        <f t="shared" si="3"/>
        <v>#REF!</v>
      </c>
      <c r="F77">
        <f>IFERROR(ABS(#REF!),0)</f>
        <v>0</v>
      </c>
      <c r="G77" t="e">
        <f>ABS(#REF!)</f>
        <v>#REF!</v>
      </c>
    </row>
    <row r="78" spans="1:7" x14ac:dyDescent="0.25">
      <c r="A78" t="e">
        <f>#REF!</f>
        <v>#REF!</v>
      </c>
      <c r="B78" t="e">
        <f>#REF!</f>
        <v>#REF!</v>
      </c>
      <c r="C78" t="e">
        <f t="shared" si="2"/>
        <v>#REF!</v>
      </c>
      <c r="D78" t="e">
        <f t="shared" si="3"/>
        <v>#REF!</v>
      </c>
      <c r="F78">
        <f>IFERROR(ABS(#REF!),0)</f>
        <v>0</v>
      </c>
      <c r="G78" t="e">
        <f>ABS(#REF!)</f>
        <v>#REF!</v>
      </c>
    </row>
    <row r="79" spans="1:7" x14ac:dyDescent="0.25">
      <c r="A79" t="e">
        <f>#REF!</f>
        <v>#REF!</v>
      </c>
      <c r="B79" t="e">
        <f>#REF!</f>
        <v>#REF!</v>
      </c>
      <c r="C79" t="e">
        <f t="shared" si="2"/>
        <v>#REF!</v>
      </c>
      <c r="D79" t="e">
        <f t="shared" si="3"/>
        <v>#REF!</v>
      </c>
      <c r="F79">
        <f>IFERROR(ABS(#REF!),0)</f>
        <v>0</v>
      </c>
      <c r="G79" t="e">
        <f>ABS(#REF!)</f>
        <v>#REF!</v>
      </c>
    </row>
    <row r="80" spans="1:7" x14ac:dyDescent="0.25">
      <c r="A80" t="e">
        <f>#REF!</f>
        <v>#REF!</v>
      </c>
      <c r="B80" t="e">
        <f>#REF!</f>
        <v>#REF!</v>
      </c>
      <c r="C80" t="e">
        <f t="shared" si="2"/>
        <v>#REF!</v>
      </c>
      <c r="D80" t="e">
        <f t="shared" si="3"/>
        <v>#REF!</v>
      </c>
      <c r="F80">
        <f>IFERROR(ABS(#REF!),0)</f>
        <v>0</v>
      </c>
      <c r="G80" t="e">
        <f>ABS(#REF!)</f>
        <v>#REF!</v>
      </c>
    </row>
    <row r="81" spans="1:7" x14ac:dyDescent="0.25">
      <c r="A81" t="e">
        <f>#REF!</f>
        <v>#REF!</v>
      </c>
      <c r="B81" t="e">
        <f>#REF!</f>
        <v>#REF!</v>
      </c>
      <c r="C81" t="e">
        <f t="shared" si="2"/>
        <v>#REF!</v>
      </c>
      <c r="D81" t="e">
        <f t="shared" si="3"/>
        <v>#REF!</v>
      </c>
      <c r="F81">
        <f>IFERROR(ABS(#REF!),0)</f>
        <v>0</v>
      </c>
      <c r="G81" t="e">
        <f>ABS(#REF!)</f>
        <v>#REF!</v>
      </c>
    </row>
    <row r="82" spans="1:7" x14ac:dyDescent="0.25">
      <c r="A82" t="e">
        <f>#REF!</f>
        <v>#REF!</v>
      </c>
      <c r="B82" t="e">
        <f>#REF!</f>
        <v>#REF!</v>
      </c>
      <c r="C82" t="e">
        <f t="shared" ref="C82:C94" si="4">IF(A82=B82,B82,IF(A82=0,B82,IF(B82=0,A82,B82)))</f>
        <v>#REF!</v>
      </c>
      <c r="D82" t="e">
        <f t="shared" si="3"/>
        <v>#REF!</v>
      </c>
      <c r="F82">
        <f>IFERROR(ABS(#REF!),0)</f>
        <v>0</v>
      </c>
      <c r="G82" t="e">
        <f>ABS(#REF!)</f>
        <v>#REF!</v>
      </c>
    </row>
    <row r="83" spans="1:7" x14ac:dyDescent="0.25">
      <c r="A83" t="e">
        <f>#REF!</f>
        <v>#REF!</v>
      </c>
      <c r="B83" t="e">
        <f>#REF!</f>
        <v>#REF!</v>
      </c>
      <c r="C83" t="e">
        <f t="shared" si="4"/>
        <v>#REF!</v>
      </c>
      <c r="D83" t="e">
        <f t="shared" si="3"/>
        <v>#REF!</v>
      </c>
      <c r="F83">
        <f>IFERROR(ABS(#REF!),0)</f>
        <v>0</v>
      </c>
      <c r="G83" t="e">
        <f>ABS(#REF!)</f>
        <v>#REF!</v>
      </c>
    </row>
    <row r="84" spans="1:7" x14ac:dyDescent="0.25">
      <c r="A84" t="e">
        <f>#REF!</f>
        <v>#REF!</v>
      </c>
      <c r="B84" t="e">
        <f>#REF!</f>
        <v>#REF!</v>
      </c>
      <c r="C84" t="e">
        <f t="shared" si="4"/>
        <v>#REF!</v>
      </c>
      <c r="D84" t="e">
        <f t="shared" si="3"/>
        <v>#REF!</v>
      </c>
      <c r="F84">
        <f>IFERROR(ABS(#REF!),0)</f>
        <v>0</v>
      </c>
      <c r="G84" t="e">
        <f>ABS(#REF!)</f>
        <v>#REF!</v>
      </c>
    </row>
    <row r="85" spans="1:7" x14ac:dyDescent="0.25">
      <c r="A85" t="e">
        <f>#REF!</f>
        <v>#REF!</v>
      </c>
      <c r="B85" t="e">
        <f>#REF!</f>
        <v>#REF!</v>
      </c>
      <c r="C85" t="e">
        <f t="shared" si="4"/>
        <v>#REF!</v>
      </c>
      <c r="D85" t="e">
        <f t="shared" si="3"/>
        <v>#REF!</v>
      </c>
      <c r="F85">
        <f>IFERROR(ABS(#REF!),0)</f>
        <v>0</v>
      </c>
      <c r="G85" t="e">
        <f>ABS(#REF!)</f>
        <v>#REF!</v>
      </c>
    </row>
    <row r="86" spans="1:7" x14ac:dyDescent="0.25">
      <c r="A86" t="e">
        <f>#REF!</f>
        <v>#REF!</v>
      </c>
      <c r="B86" t="e">
        <f>#REF!</f>
        <v>#REF!</v>
      </c>
      <c r="C86" t="e">
        <f t="shared" si="4"/>
        <v>#REF!</v>
      </c>
      <c r="D86" t="e">
        <f t="shared" si="3"/>
        <v>#REF!</v>
      </c>
      <c r="F86">
        <f>IFERROR(ABS(#REF!),0)</f>
        <v>0</v>
      </c>
      <c r="G86" t="e">
        <f>ABS(#REF!)</f>
        <v>#REF!</v>
      </c>
    </row>
    <row r="87" spans="1:7" x14ac:dyDescent="0.25">
      <c r="A87" t="e">
        <f>#REF!</f>
        <v>#REF!</v>
      </c>
      <c r="B87" t="e">
        <f>#REF!</f>
        <v>#REF!</v>
      </c>
      <c r="C87" t="e">
        <f t="shared" si="4"/>
        <v>#REF!</v>
      </c>
      <c r="D87" t="e">
        <f t="shared" si="3"/>
        <v>#REF!</v>
      </c>
      <c r="F87">
        <f>IFERROR(ABS(#REF!),0)</f>
        <v>0</v>
      </c>
      <c r="G87" t="e">
        <f>ABS(#REF!)</f>
        <v>#REF!</v>
      </c>
    </row>
    <row r="88" spans="1:7" x14ac:dyDescent="0.25">
      <c r="A88" t="e">
        <f>#REF!</f>
        <v>#REF!</v>
      </c>
      <c r="B88" t="e">
        <f>#REF!</f>
        <v>#REF!</v>
      </c>
      <c r="C88" t="e">
        <f t="shared" si="4"/>
        <v>#REF!</v>
      </c>
      <c r="D88" t="e">
        <f t="shared" si="3"/>
        <v>#REF!</v>
      </c>
      <c r="F88">
        <f>IFERROR(ABS(#REF!),0)</f>
        <v>0</v>
      </c>
      <c r="G88" t="e">
        <f>ABS(#REF!)</f>
        <v>#REF!</v>
      </c>
    </row>
    <row r="89" spans="1:7" x14ac:dyDescent="0.25">
      <c r="A89" t="e">
        <f>#REF!</f>
        <v>#REF!</v>
      </c>
      <c r="B89" t="e">
        <f>#REF!</f>
        <v>#REF!</v>
      </c>
      <c r="C89" t="e">
        <f t="shared" si="4"/>
        <v>#REF!</v>
      </c>
      <c r="D89" t="e">
        <f t="shared" si="3"/>
        <v>#REF!</v>
      </c>
      <c r="F89">
        <f>IFERROR(ABS(#REF!),0)</f>
        <v>0</v>
      </c>
      <c r="G89" t="e">
        <f>ABS(#REF!)</f>
        <v>#REF!</v>
      </c>
    </row>
    <row r="90" spans="1:7" x14ac:dyDescent="0.25">
      <c r="A90" t="e">
        <f>#REF!</f>
        <v>#REF!</v>
      </c>
      <c r="B90" t="e">
        <f>#REF!</f>
        <v>#REF!</v>
      </c>
      <c r="C90" t="e">
        <f t="shared" si="4"/>
        <v>#REF!</v>
      </c>
      <c r="D90" t="e">
        <f t="shared" si="3"/>
        <v>#REF!</v>
      </c>
      <c r="F90">
        <f>IFERROR(ABS(#REF!),0)</f>
        <v>0</v>
      </c>
      <c r="G90" t="e">
        <f>ABS(#REF!)</f>
        <v>#REF!</v>
      </c>
    </row>
    <row r="91" spans="1:7" x14ac:dyDescent="0.25">
      <c r="A91" t="e">
        <f>#REF!</f>
        <v>#REF!</v>
      </c>
      <c r="B91" t="e">
        <f>#REF!</f>
        <v>#REF!</v>
      </c>
      <c r="C91" t="e">
        <f t="shared" si="4"/>
        <v>#REF!</v>
      </c>
      <c r="D91" t="e">
        <f t="shared" si="3"/>
        <v>#REF!</v>
      </c>
      <c r="F91">
        <f>IFERROR(ABS(#REF!),0)</f>
        <v>0</v>
      </c>
      <c r="G91" t="e">
        <f>ABS(#REF!)</f>
        <v>#REF!</v>
      </c>
    </row>
    <row r="92" spans="1:7" x14ac:dyDescent="0.25">
      <c r="A92" t="e">
        <f>#REF!</f>
        <v>#REF!</v>
      </c>
      <c r="B92" t="e">
        <f>#REF!</f>
        <v>#REF!</v>
      </c>
      <c r="C92" t="e">
        <f t="shared" si="4"/>
        <v>#REF!</v>
      </c>
      <c r="D92" t="e">
        <f t="shared" si="3"/>
        <v>#REF!</v>
      </c>
      <c r="F92">
        <f>IFERROR(ABS(#REF!),0)</f>
        <v>0</v>
      </c>
      <c r="G92" t="e">
        <f>ABS(#REF!)</f>
        <v>#REF!</v>
      </c>
    </row>
    <row r="93" spans="1:7" x14ac:dyDescent="0.25">
      <c r="A93" t="e">
        <f>#REF!</f>
        <v>#REF!</v>
      </c>
      <c r="B93" t="e">
        <f>#REF!</f>
        <v>#REF!</v>
      </c>
      <c r="C93" t="e">
        <f t="shared" si="4"/>
        <v>#REF!</v>
      </c>
      <c r="D93" t="e">
        <f t="shared" si="3"/>
        <v>#REF!</v>
      </c>
      <c r="F93">
        <f>IFERROR(ABS(#REF!),0)</f>
        <v>0</v>
      </c>
      <c r="G93" t="e">
        <f>ABS(#REF!)</f>
        <v>#REF!</v>
      </c>
    </row>
    <row r="94" spans="1:7" x14ac:dyDescent="0.25">
      <c r="A94" t="e">
        <f>#REF!</f>
        <v>#REF!</v>
      </c>
      <c r="B94" t="e">
        <f>#REF!</f>
        <v>#REF!</v>
      </c>
      <c r="C94" t="e">
        <f t="shared" si="4"/>
        <v>#REF!</v>
      </c>
      <c r="D94" t="e">
        <f t="shared" si="3"/>
        <v>#REF!</v>
      </c>
      <c r="F94">
        <f>IFERROR(ABS(#REF!),0)</f>
        <v>0</v>
      </c>
      <c r="G94" t="e">
        <f>ABS(#REF!)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Resultat 2020 &amp; Budsjett 2021</vt:lpstr>
      <vt:lpstr>Budsjett 2021</vt:lpstr>
      <vt:lpstr>Budsjett 2022</vt:lpstr>
      <vt:lpstr>Sheet2</vt:lpstr>
      <vt:lpstr>'Resultat 2020 &amp; Budsjett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Johnsson</dc:creator>
  <cp:lastModifiedBy>Merethe Pepevnik</cp:lastModifiedBy>
  <cp:lastPrinted>2020-02-02T10:42:42Z</cp:lastPrinted>
  <dcterms:created xsi:type="dcterms:W3CDTF">2016-01-30T17:01:22Z</dcterms:created>
  <dcterms:modified xsi:type="dcterms:W3CDTF">2022-02-01T10:58:19Z</dcterms:modified>
</cp:coreProperties>
</file>